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0" yWindow="0" windowWidth="20460" windowHeight="2745" tabRatio="852" activeTab="1"/>
  </bookViews>
  <sheets>
    <sheet name="Q4-1" sheetId="16" r:id="rId1"/>
    <sheet name="Q4-2" sheetId="14" r:id="rId2"/>
    <sheet name="Q4-3" sheetId="18" r:id="rId3"/>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5" i="14" l="1"/>
  <c r="C96" i="14" s="1"/>
  <c r="C99" i="14"/>
  <c r="C100" i="14"/>
  <c r="F99" i="14"/>
  <c r="H99" i="14"/>
  <c r="G99" i="14"/>
  <c r="H92" i="14"/>
  <c r="G92" i="14"/>
  <c r="F92" i="14"/>
  <c r="C92" i="14"/>
  <c r="H85" i="14"/>
  <c r="H84" i="14"/>
  <c r="H89" i="14" s="1"/>
  <c r="H83" i="14"/>
  <c r="H78" i="14"/>
  <c r="H79" i="14" s="1"/>
  <c r="H77" i="14"/>
  <c r="H76" i="14"/>
  <c r="G85" i="14"/>
  <c r="G84" i="14"/>
  <c r="G89" i="14" s="1"/>
  <c r="G83" i="14"/>
  <c r="G78" i="14"/>
  <c r="G77" i="14"/>
  <c r="G76" i="14"/>
  <c r="F85" i="14"/>
  <c r="F84" i="14"/>
  <c r="F89" i="14" s="1"/>
  <c r="F83" i="14"/>
  <c r="F78" i="14"/>
  <c r="F77" i="14"/>
  <c r="F76" i="14"/>
  <c r="F79" i="14" s="1"/>
  <c r="C98" i="14"/>
  <c r="C93" i="14"/>
  <c r="C84" i="14"/>
  <c r="C89" i="14" s="1"/>
  <c r="C85" i="14"/>
  <c r="C83" i="14"/>
  <c r="C78" i="14"/>
  <c r="C77" i="14"/>
  <c r="C76" i="14"/>
  <c r="C94" i="14" s="1"/>
  <c r="D49" i="16"/>
  <c r="D44" i="16"/>
  <c r="D48" i="16"/>
  <c r="C43" i="16"/>
  <c r="D27" i="16"/>
  <c r="C40" i="16"/>
  <c r="D33" i="16"/>
  <c r="D34" i="16"/>
  <c r="D32" i="16"/>
  <c r="C34" i="16"/>
  <c r="C33" i="16"/>
  <c r="C32" i="16"/>
  <c r="D28" i="16"/>
  <c r="D26" i="16"/>
  <c r="D22" i="16"/>
  <c r="D17" i="16"/>
  <c r="C79" i="14" l="1"/>
  <c r="G79" i="14"/>
  <c r="F64" i="14"/>
  <c r="G64" i="14"/>
  <c r="H64" i="14"/>
  <c r="C64" i="14"/>
  <c r="E64" i="14"/>
  <c r="F52" i="14"/>
  <c r="F56" i="14" s="1"/>
  <c r="F65" i="14" s="1"/>
  <c r="G52" i="14"/>
  <c r="G56" i="14"/>
  <c r="H52" i="14"/>
  <c r="H56" i="14" s="1"/>
  <c r="H65" i="14" s="1"/>
  <c r="C52" i="14"/>
  <c r="C56" i="14"/>
  <c r="C65" i="14" s="1"/>
  <c r="E52" i="14"/>
  <c r="E56" i="14" s="1"/>
  <c r="E65" i="14" s="1"/>
  <c r="F40" i="14"/>
  <c r="F46" i="14"/>
  <c r="G40" i="14"/>
  <c r="G46" i="14" s="1"/>
  <c r="H40" i="14"/>
  <c r="H46" i="14"/>
  <c r="C40" i="14"/>
  <c r="C46" i="14" s="1"/>
  <c r="E40" i="14"/>
  <c r="E46" i="14"/>
  <c r="F17" i="14"/>
  <c r="F20" i="14" s="1"/>
  <c r="F80" i="14" s="1"/>
  <c r="F81" i="14" s="1"/>
  <c r="F88" i="14" s="1"/>
  <c r="G17" i="14"/>
  <c r="G20" i="14"/>
  <c r="G80" i="14" s="1"/>
  <c r="H17" i="14"/>
  <c r="H20" i="14" s="1"/>
  <c r="H80" i="14" s="1"/>
  <c r="H81" i="14" s="1"/>
  <c r="H88" i="14" s="1"/>
  <c r="E17" i="14"/>
  <c r="E20" i="14"/>
  <c r="E22" i="14" s="1"/>
  <c r="E24" i="14" s="1"/>
  <c r="C12" i="14"/>
  <c r="C17" i="14" s="1"/>
  <c r="C20" i="14" s="1"/>
  <c r="E67" i="14"/>
  <c r="F67" i="14"/>
  <c r="G67" i="14"/>
  <c r="H67" i="14"/>
  <c r="C67" i="14"/>
  <c r="E70" i="14"/>
  <c r="F70" i="14"/>
  <c r="F82" i="14" s="1"/>
  <c r="G70" i="14"/>
  <c r="G82" i="14" s="1"/>
  <c r="H70" i="14"/>
  <c r="H82" i="14" s="1"/>
  <c r="C70" i="14"/>
  <c r="C82" i="14" s="1"/>
  <c r="G65" i="14"/>
  <c r="C80" i="14" l="1"/>
  <c r="C22" i="14"/>
  <c r="C24" i="14" s="1"/>
  <c r="F22" i="14"/>
  <c r="F24" i="14" s="1"/>
  <c r="G22" i="14"/>
  <c r="G24" i="14" s="1"/>
  <c r="H22" i="14"/>
  <c r="H24" i="14" s="1"/>
  <c r="G81" i="14"/>
  <c r="G88" i="14" s="1"/>
  <c r="C91" i="14" l="1"/>
  <c r="C81" i="14"/>
  <c r="C88" i="14" s="1"/>
</calcChain>
</file>

<file path=xl/sharedStrings.xml><?xml version="1.0" encoding="utf-8"?>
<sst xmlns="http://schemas.openxmlformats.org/spreadsheetml/2006/main" count="165" uniqueCount="144">
  <si>
    <t>All of the comparables are E&amp;P companies and all have major natural gas reserves.  So in general, all comps can be viewed as fair comparables. Based on size, all comps except Chesepeake are comparable. BR has long-lived onshore gas and the best comps are E&amp;P companies with the largest focus on gas.  There are pros and cons to each of the comps being the "best comp".  Taking this into account and also size, one can argue that XTO and Devon are the best comps.</t>
  </si>
  <si>
    <t>Cash and cash equivalents</t>
  </si>
  <si>
    <t>Short-term investments</t>
  </si>
  <si>
    <t>Net receivables</t>
  </si>
  <si>
    <t>Inventory</t>
  </si>
  <si>
    <t>Other current assets</t>
  </si>
  <si>
    <t>Total current assets</t>
  </si>
  <si>
    <t>Long-term investments</t>
  </si>
  <si>
    <t>Property, plant, and equipment</t>
  </si>
  <si>
    <t>Goodwill</t>
  </si>
  <si>
    <t>Other assets</t>
  </si>
  <si>
    <t>Deferred long-term asset charges</t>
  </si>
  <si>
    <t>Total assets</t>
  </si>
  <si>
    <t>Liabilities</t>
  </si>
  <si>
    <t>Current Liabilities</t>
  </si>
  <si>
    <t>Accounts payable</t>
  </si>
  <si>
    <t>Short/Current long-term debt</t>
  </si>
  <si>
    <t>Other current liabilities</t>
  </si>
  <si>
    <t>Total current liabilities</t>
  </si>
  <si>
    <t>Long-term debt</t>
  </si>
  <si>
    <t>Other liabilities</t>
  </si>
  <si>
    <t>Deferred long-term liability charges</t>
  </si>
  <si>
    <t>Total Liabilities</t>
  </si>
  <si>
    <t xml:space="preserve">Stockholders' Equity </t>
  </si>
  <si>
    <t>Preferred stock</t>
  </si>
  <si>
    <t>Common stock</t>
  </si>
  <si>
    <t>Retained earnings</t>
  </si>
  <si>
    <t>Treasury stock</t>
  </si>
  <si>
    <t>Capital surplus</t>
  </si>
  <si>
    <t>4,106,182  </t>
  </si>
  <si>
    <t>Other stockholders' equity</t>
  </si>
  <si>
    <t>Total stockholders' equity</t>
  </si>
  <si>
    <t>Total liabilities and stockholders' equity</t>
  </si>
  <si>
    <t>Other Financial Data</t>
  </si>
  <si>
    <t>Exploration expenses (thousands)</t>
  </si>
  <si>
    <t>Shares Outstanding (millions)</t>
  </si>
  <si>
    <t>Year-end 2004 Closing Price</t>
  </si>
  <si>
    <t>Solution (All values in thousands)</t>
  </si>
  <si>
    <t>EV/EBITDA Multiple</t>
  </si>
  <si>
    <t>P/E Multiple</t>
  </si>
  <si>
    <t>EV based on EBITDA for BR using comps</t>
  </si>
  <si>
    <t>Plus:  Cash</t>
  </si>
  <si>
    <t>Less:  Interest-bearing debt</t>
  </si>
  <si>
    <t>Equity value</t>
  </si>
  <si>
    <t>Equity value per share</t>
  </si>
  <si>
    <t>Equity value per share based on P/E multiple</t>
  </si>
  <si>
    <t>Enterprise Value Calculations</t>
  </si>
  <si>
    <t>Interest-bearing debt (ST&amp;LT)</t>
  </si>
  <si>
    <t>Common equity (price x shares outstanding)</t>
  </si>
  <si>
    <t>Less: Cash and equivalents</t>
  </si>
  <si>
    <t>Equals: Enterprise value</t>
  </si>
  <si>
    <t>Net income</t>
  </si>
  <si>
    <t xml:space="preserve"> </t>
  </si>
  <si>
    <t>XTO Energy</t>
  </si>
  <si>
    <t>Chesapeake Energy</t>
  </si>
  <si>
    <t>Devon Energy</t>
  </si>
  <si>
    <t>Apache</t>
  </si>
  <si>
    <t>Ticker</t>
  </si>
  <si>
    <t>XTO</t>
  </si>
  <si>
    <t>CHK</t>
  </si>
  <si>
    <t>DVN</t>
  </si>
  <si>
    <t>APA</t>
  </si>
  <si>
    <t>BR</t>
  </si>
  <si>
    <t>PERIOD ENDING</t>
  </si>
  <si>
    <t>Income Statement ($000)</t>
  </si>
  <si>
    <t>Total Revenue</t>
  </si>
  <si>
    <t>Cost of revenue</t>
  </si>
  <si>
    <t>Gross Profit</t>
  </si>
  <si>
    <t>Operating Expenses</t>
  </si>
  <si>
    <t>Selling, general, and administrative</t>
  </si>
  <si>
    <t>Depreciation, depleletion, and amortization</t>
  </si>
  <si>
    <t>Others</t>
  </si>
  <si>
    <t>Operating income or loss</t>
  </si>
  <si>
    <t>Income from Continuing Operations</t>
  </si>
  <si>
    <t>Total other income/expenses (net)</t>
  </si>
  <si>
    <t>-  </t>
  </si>
  <si>
    <t>Earnings before interest and taxes</t>
  </si>
  <si>
    <t>Interest expense</t>
  </si>
  <si>
    <t>Income before tax</t>
  </si>
  <si>
    <t>Income tax expense</t>
  </si>
  <si>
    <t>Net income from continuing operations</t>
  </si>
  <si>
    <t>Nonrecurring Events</t>
  </si>
  <si>
    <t>Effect of accounting changes</t>
  </si>
  <si>
    <t>Preferred stock  and other adjustments</t>
  </si>
  <si>
    <t>Net income applicable to common shares</t>
  </si>
  <si>
    <t>Balance Sheet ($000)</t>
  </si>
  <si>
    <t>Assets</t>
  </si>
  <si>
    <t>Current Assets</t>
  </si>
  <si>
    <t>EBITDA</t>
  </si>
  <si>
    <t>A</t>
  </si>
  <si>
    <t>B</t>
  </si>
  <si>
    <t>Rent</t>
  </si>
  <si>
    <t>&lt;-- EBIT+ Depr&amp;Amor</t>
  </si>
  <si>
    <t>Valuation analysis</t>
  </si>
  <si>
    <t xml:space="preserve">Value = NOI / (cap rate of NOI) </t>
  </si>
  <si>
    <t>= Rent / (cap rate of Rent) - Maintenance / (Cap rate of maintenance)</t>
  </si>
  <si>
    <t>Operating information</t>
  </si>
  <si>
    <t>Building</t>
  </si>
  <si>
    <t xml:space="preserve">Total </t>
  </si>
  <si>
    <t>Total size</t>
  </si>
  <si>
    <t>Maintenance</t>
  </si>
  <si>
    <t>Net operating income (NOI)</t>
  </si>
  <si>
    <t>Property value</t>
  </si>
  <si>
    <t>per sqft</t>
  </si>
  <si>
    <t>To Solve</t>
  </si>
  <si>
    <t>valuation of maintenance</t>
  </si>
  <si>
    <t>cap rate for maintenance</t>
  </si>
  <si>
    <t>Value of maintenance</t>
  </si>
  <si>
    <t>valuation of rental</t>
  </si>
  <si>
    <t>Value of rental</t>
  </si>
  <si>
    <t>Cap rate for rental</t>
  </si>
  <si>
    <t>Value of property = value of rental - value of maintenance</t>
  </si>
  <si>
    <t>price of property</t>
  </si>
  <si>
    <t>price per sqft</t>
  </si>
  <si>
    <t>Question 4-2</t>
  </si>
  <si>
    <t>c</t>
  </si>
  <si>
    <r>
      <t>This issue (Did COP pay too much?) received a lot of discussion at the time of the acquisition.  After students complete the analysis, they may conclude that COP paid too much for BR.  The actual acquisition represents a valuation of BR equivalent to $92 per share based on COP's closing price on 12-9-2005, the last unaffected day of trading prior to the acquisition announcement.  As shown in the calculations, only the valuation of XTO ($94 based on the EBITDA multiple) justifies such a price.  However,all analyses as presented use 2004 year-end value.  It is important to note that some analysts forcasted EBITDA and EBITDAX growth rates of 25-30% for BR in 2005.  While the acquisition price of $92 still looks high, it can be justified.  Furthermore, there are synergies to the acquisition.  COP has a state</t>
    </r>
    <r>
      <rPr>
        <b/>
        <sz val="10"/>
        <color indexed="53"/>
        <rFont val="Calibri"/>
        <family val="2"/>
        <scheme val="minor"/>
      </rPr>
      <t>d</t>
    </r>
    <r>
      <rPr>
        <sz val="10"/>
        <rFont val="Calibri"/>
        <family val="2"/>
        <scheme val="minor"/>
      </rPr>
      <t xml:space="preserve"> goal of increasing its upstream portfolio.  Also, COP has the weakest exploration portfolio among the largest integrated firms, and needs to boost its inventory.  In this acquisition, COP is targeting North American natural gas reserves.</t>
    </r>
  </si>
  <si>
    <t>Given, (all values are in thousands)</t>
  </si>
  <si>
    <t>Analysis of comparables</t>
  </si>
  <si>
    <t>Average from comparables</t>
  </si>
  <si>
    <t>Equity value based on P/E Ratio</t>
  </si>
  <si>
    <t>a</t>
  </si>
  <si>
    <t>b</t>
  </si>
  <si>
    <t>d</t>
  </si>
  <si>
    <t>Market values (millions)</t>
  </si>
  <si>
    <t>Net income  applicable to common shares</t>
  </si>
  <si>
    <t>Target</t>
  </si>
  <si>
    <t>Compare the market price of BR, and estimations from EBIDA mutliples and P/E ratios?</t>
  </si>
  <si>
    <t>Follow the examples in Q4-2, work out the comparable valuation for your project company</t>
  </si>
  <si>
    <t>Note:</t>
  </si>
  <si>
    <t xml:space="preserve">Notes: </t>
  </si>
  <si>
    <t>Please follow the sequence of the labelling to complete the analysis.</t>
  </si>
  <si>
    <t>Value / NOI</t>
  </si>
  <si>
    <t>NOI</t>
  </si>
  <si>
    <t>Value / size</t>
  </si>
  <si>
    <t>Size</t>
  </si>
  <si>
    <t xml:space="preserve">Value </t>
  </si>
  <si>
    <t>Value</t>
  </si>
  <si>
    <t>&lt;-- use comparable</t>
  </si>
  <si>
    <t>pricing, considering operating leverage</t>
  </si>
  <si>
    <t>Pricing, simple using NOI multiple</t>
  </si>
  <si>
    <t>Pricing, using multiple of value / sqft</t>
  </si>
  <si>
    <t>&lt;- use comparable</t>
  </si>
  <si>
    <t>Market price is greater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</si>
</sst>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quot;#,##0_);[Red]\(&quot;$&quot;#,##0\)"/>
    <numFmt numFmtId="165" formatCode="_(* #,##0_);_(* \(#,##0\);_(* &quot;-&quot;_);_(@_)"/>
    <numFmt numFmtId="166" formatCode="_(* #,##0.00_);_(* \(#,##0.00\);_(* &quot;-&quot;??_);_(@_)"/>
    <numFmt numFmtId="167" formatCode="0.0%"/>
    <numFmt numFmtId="168" formatCode="_(* #,##0_);_(* \(#,##0\);_(* &quot;-&quot;??_);_(@_)"/>
  </numFmts>
  <fonts count="19" x14ac:knownFonts="1">
    <font>
      <sz val="10"/>
      <name val="Arial"/>
      <family val="2"/>
    </font>
    <font>
      <sz val="8"/>
      <name val="Arial"/>
      <family val="2"/>
    </font>
    <font>
      <sz val="11"/>
      <color theme="0"/>
      <name val="Calibri"/>
      <family val="2"/>
      <scheme val="minor"/>
    </font>
    <font>
      <u/>
      <sz val="11"/>
      <color theme="1"/>
      <name val="Calibri"/>
      <family val="2"/>
      <scheme val="minor"/>
    </font>
    <font>
      <b/>
      <sz val="11"/>
      <color theme="8" tint="-0.249977111117893"/>
      <name val="Calibri"/>
      <family val="2"/>
      <scheme val="minor"/>
    </font>
    <font>
      <b/>
      <u/>
      <sz val="11"/>
      <color theme="1"/>
      <name val="Calibri"/>
      <family val="2"/>
      <scheme val="minor"/>
    </font>
    <font>
      <b/>
      <i/>
      <sz val="11"/>
      <color theme="1"/>
      <name val="Calibri"/>
      <family val="2"/>
      <scheme val="minor"/>
    </font>
    <font>
      <b/>
      <i/>
      <sz val="11"/>
      <color rgb="FFFF0000"/>
      <name val="Calibri"/>
      <family val="2"/>
      <scheme val="minor"/>
    </font>
    <font>
      <b/>
      <u/>
      <sz val="10"/>
      <name val="Arial"/>
      <family val="2"/>
    </font>
    <font>
      <sz val="10"/>
      <name val="Calibri"/>
      <family val="2"/>
      <scheme val="minor"/>
    </font>
    <font>
      <b/>
      <sz val="10"/>
      <name val="Calibri"/>
      <family val="2"/>
      <scheme val="minor"/>
    </font>
    <font>
      <b/>
      <u/>
      <sz val="10"/>
      <name val="Calibri"/>
      <family val="2"/>
      <scheme val="minor"/>
    </font>
    <font>
      <b/>
      <sz val="10"/>
      <color indexed="53"/>
      <name val="Calibri"/>
      <family val="2"/>
      <scheme val="minor"/>
    </font>
    <font>
      <b/>
      <sz val="10"/>
      <color theme="4" tint="0.79998168889431442"/>
      <name val="Calibri"/>
      <family val="2"/>
      <scheme val="minor"/>
    </font>
    <font>
      <b/>
      <i/>
      <sz val="10"/>
      <color rgb="FFC00000"/>
      <name val="Calibri"/>
      <family val="2"/>
      <scheme val="minor"/>
    </font>
    <font>
      <sz val="10"/>
      <color rgb="FFC00000"/>
      <name val="Calibri"/>
      <family val="2"/>
      <scheme val="minor"/>
    </font>
    <font>
      <sz val="10"/>
      <color theme="1"/>
      <name val="Calibri"/>
      <family val="2"/>
      <scheme val="minor"/>
    </font>
    <font>
      <i/>
      <sz val="10"/>
      <name val="Arial"/>
      <family val="2"/>
    </font>
    <font>
      <sz val="10"/>
      <name val="Arial"/>
      <family val="2"/>
    </font>
  </fonts>
  <fills count="10">
    <fill>
      <patternFill patternType="none"/>
    </fill>
    <fill>
      <patternFill patternType="gray125"/>
    </fill>
    <fill>
      <patternFill patternType="solid">
        <fgColor indexed="45"/>
        <bgColor indexed="64"/>
      </patternFill>
    </fill>
    <fill>
      <patternFill patternType="solid">
        <fgColor rgb="FF00206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3"/>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9" tint="0.39997558519241921"/>
        <bgColor indexed="64"/>
      </patternFill>
    </fill>
  </fills>
  <borders count="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166" fontId="18" fillId="0" borderId="0" applyFont="0" applyFill="0" applyBorder="0" applyAlignment="0" applyProtection="0"/>
  </cellStyleXfs>
  <cellXfs count="79">
    <xf numFmtId="0" fontId="0" fillId="0" borderId="0" xfId="0"/>
    <xf numFmtId="0" fontId="3" fillId="0" borderId="0" xfId="0" applyFont="1"/>
    <xf numFmtId="0" fontId="0" fillId="0" borderId="0" xfId="0" applyAlignment="1">
      <alignment horizontal="center"/>
    </xf>
    <xf numFmtId="0" fontId="4" fillId="0" borderId="0" xfId="0" applyFont="1"/>
    <xf numFmtId="0" fontId="0" fillId="0" borderId="0" xfId="0" quotePrefix="1"/>
    <xf numFmtId="0" fontId="5" fillId="0" borderId="0" xfId="0" applyFont="1"/>
    <xf numFmtId="0" fontId="6" fillId="0" borderId="0" xfId="0" applyFont="1"/>
    <xf numFmtId="164" fontId="0" fillId="0" borderId="0" xfId="0" applyNumberFormat="1" applyAlignment="1">
      <alignment horizontal="center"/>
    </xf>
    <xf numFmtId="4" fontId="0" fillId="0" borderId="0" xfId="0" applyNumberFormat="1" applyAlignment="1">
      <alignment horizontal="center"/>
    </xf>
    <xf numFmtId="0" fontId="7" fillId="0" borderId="0" xfId="0" applyFont="1" applyAlignment="1">
      <alignment horizontal="center"/>
    </xf>
    <xf numFmtId="0" fontId="0" fillId="0" borderId="0" xfId="0" applyAlignment="1">
      <alignment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horizontal="center" vertical="top" wrapText="1"/>
    </xf>
    <xf numFmtId="0" fontId="9" fillId="0" borderId="0" xfId="0" applyFont="1" applyFill="1" applyBorder="1" applyAlignment="1">
      <alignment horizontal="center" vertical="top" wrapText="1"/>
    </xf>
    <xf numFmtId="0" fontId="10" fillId="0" borderId="0" xfId="0" applyFont="1" applyAlignment="1">
      <alignment vertical="top" wrapText="1"/>
    </xf>
    <xf numFmtId="165" fontId="10" fillId="4" borderId="0" xfId="0" applyNumberFormat="1" applyFont="1" applyFill="1" applyBorder="1" applyAlignment="1">
      <alignment vertical="top" wrapText="1"/>
    </xf>
    <xf numFmtId="0" fontId="10" fillId="0" borderId="0"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Alignment="1">
      <alignment vertical="top" wrapText="1"/>
    </xf>
    <xf numFmtId="0" fontId="9" fillId="0" borderId="0" xfId="0" applyFont="1" applyFill="1" applyAlignment="1">
      <alignment horizontal="left" vertical="top"/>
    </xf>
    <xf numFmtId="0" fontId="9" fillId="0" borderId="0" xfId="0" applyFont="1" applyFill="1" applyAlignment="1">
      <alignment vertical="top"/>
    </xf>
    <xf numFmtId="0" fontId="9" fillId="0" borderId="0" xfId="0" applyFont="1" applyBorder="1" applyAlignment="1">
      <alignment vertical="top" wrapText="1"/>
    </xf>
    <xf numFmtId="0" fontId="9" fillId="4" borderId="0" xfId="0" applyFont="1" applyFill="1" applyBorder="1" applyAlignment="1">
      <alignment horizontal="center" vertical="top" wrapText="1"/>
    </xf>
    <xf numFmtId="0" fontId="10" fillId="4" borderId="0" xfId="0" applyFont="1" applyFill="1" applyBorder="1" applyAlignment="1">
      <alignment vertical="top" wrapText="1"/>
    </xf>
    <xf numFmtId="0" fontId="11" fillId="4" borderId="0" xfId="0" applyFont="1" applyFill="1" applyBorder="1" applyAlignment="1">
      <alignment vertical="top" wrapText="1"/>
    </xf>
    <xf numFmtId="0" fontId="9" fillId="4" borderId="0" xfId="0" applyFont="1" applyFill="1" applyBorder="1" applyAlignment="1">
      <alignment vertical="top" wrapText="1"/>
    </xf>
    <xf numFmtId="0" fontId="10" fillId="0" borderId="0" xfId="0" applyFont="1" applyBorder="1" applyAlignment="1">
      <alignment horizontal="center" vertical="top" wrapText="1"/>
    </xf>
    <xf numFmtId="0" fontId="10" fillId="0" borderId="0" xfId="0" applyFont="1" applyFill="1" applyBorder="1" applyAlignment="1">
      <alignment horizontal="center" wrapText="1"/>
    </xf>
    <xf numFmtId="4" fontId="9" fillId="0" borderId="0" xfId="0" applyNumberFormat="1" applyFont="1" applyAlignment="1">
      <alignment horizontal="center" vertical="top" wrapText="1"/>
    </xf>
    <xf numFmtId="4" fontId="9" fillId="0" borderId="0" xfId="0" applyNumberFormat="1" applyFont="1" applyAlignment="1">
      <alignment vertical="top" wrapText="1"/>
    </xf>
    <xf numFmtId="0" fontId="9" fillId="0" borderId="0" xfId="0" applyFont="1" applyAlignment="1">
      <alignment vertical="top"/>
    </xf>
    <xf numFmtId="4" fontId="10" fillId="4" borderId="0" xfId="0" applyNumberFormat="1" applyFont="1" applyFill="1" applyBorder="1" applyAlignment="1">
      <alignment horizontal="center" vertical="top" wrapText="1"/>
    </xf>
    <xf numFmtId="4" fontId="10" fillId="0" borderId="0" xfId="0" applyNumberFormat="1" applyFont="1" applyBorder="1" applyAlignment="1">
      <alignment horizontal="center" vertical="top" wrapText="1"/>
    </xf>
    <xf numFmtId="4" fontId="9" fillId="0" borderId="0" xfId="0" applyNumberFormat="1" applyFont="1" applyBorder="1" applyAlignment="1">
      <alignment horizontal="center" vertical="top" wrapText="1"/>
    </xf>
    <xf numFmtId="0" fontId="13" fillId="6" borderId="0" xfId="0" applyFont="1" applyFill="1" applyBorder="1" applyAlignment="1">
      <alignment vertical="center" wrapText="1"/>
    </xf>
    <xf numFmtId="0" fontId="13" fillId="6" borderId="4" xfId="0" applyFont="1" applyFill="1" applyBorder="1" applyAlignment="1">
      <alignment vertical="center"/>
    </xf>
    <xf numFmtId="4" fontId="13" fillId="6" borderId="0" xfId="0" applyNumberFormat="1" applyFont="1" applyFill="1" applyBorder="1" applyAlignment="1">
      <alignment horizontal="center" vertical="center" wrapText="1"/>
    </xf>
    <xf numFmtId="4" fontId="13" fillId="6" borderId="5" xfId="0" applyNumberFormat="1" applyFont="1" applyFill="1" applyBorder="1" applyAlignment="1">
      <alignment horizontal="center" vertical="center"/>
    </xf>
    <xf numFmtId="4" fontId="9" fillId="4" borderId="0" xfId="0" applyNumberFormat="1" applyFont="1" applyFill="1" applyBorder="1" applyAlignment="1">
      <alignment horizontal="center" vertical="top" wrapText="1"/>
    </xf>
    <xf numFmtId="14" fontId="9" fillId="0" borderId="0" xfId="0" applyNumberFormat="1" applyFont="1" applyAlignment="1">
      <alignment vertical="top" wrapText="1"/>
    </xf>
    <xf numFmtId="14" fontId="9" fillId="4" borderId="0" xfId="0" applyNumberFormat="1" applyFont="1" applyFill="1" applyBorder="1" applyAlignment="1">
      <alignment horizontal="center" vertical="top" wrapText="1"/>
    </xf>
    <xf numFmtId="14" fontId="10" fillId="4" borderId="0" xfId="0" applyNumberFormat="1" applyFont="1" applyFill="1" applyBorder="1" applyAlignment="1">
      <alignment vertical="top" wrapText="1"/>
    </xf>
    <xf numFmtId="4" fontId="9" fillId="0" borderId="0" xfId="0" applyNumberFormat="1" applyFont="1" applyBorder="1" applyAlignment="1">
      <alignment horizontal="center" wrapText="1"/>
    </xf>
    <xf numFmtId="165" fontId="9" fillId="0" borderId="0" xfId="0" applyNumberFormat="1" applyFont="1" applyFill="1" applyBorder="1" applyAlignment="1">
      <alignment vertical="top"/>
    </xf>
    <xf numFmtId="0" fontId="9" fillId="0" borderId="0" xfId="0" applyFont="1" applyFill="1" applyAlignment="1">
      <alignment horizontal="center" vertical="top" wrapText="1"/>
    </xf>
    <xf numFmtId="0" fontId="13" fillId="0" borderId="0" xfId="0" applyFont="1" applyFill="1" applyBorder="1" applyAlignment="1">
      <alignment horizontal="center" vertical="center" wrapText="1"/>
    </xf>
    <xf numFmtId="0" fontId="10" fillId="0" borderId="0" xfId="0" applyFont="1" applyFill="1" applyBorder="1" applyAlignment="1">
      <alignment horizontal="center" vertical="top" wrapText="1"/>
    </xf>
    <xf numFmtId="14" fontId="10" fillId="0" borderId="0" xfId="0" applyNumberFormat="1" applyFont="1" applyFill="1" applyBorder="1" applyAlignment="1">
      <alignment horizontal="center" vertical="top" wrapText="1"/>
    </xf>
    <xf numFmtId="0" fontId="11" fillId="0" borderId="0" xfId="0" applyFont="1" applyFill="1" applyBorder="1" applyAlignment="1">
      <alignment horizontal="center" vertical="top" wrapText="1"/>
    </xf>
    <xf numFmtId="165" fontId="10" fillId="0" borderId="0" xfId="0" applyNumberFormat="1" applyFont="1" applyFill="1" applyBorder="1" applyAlignment="1">
      <alignment horizontal="center" vertical="top" wrapText="1"/>
    </xf>
    <xf numFmtId="0" fontId="13" fillId="0" borderId="5" xfId="0" applyFont="1" applyFill="1" applyBorder="1" applyAlignment="1">
      <alignment horizontal="center" vertical="center"/>
    </xf>
    <xf numFmtId="0" fontId="9" fillId="0" borderId="0" xfId="0" applyFont="1" applyFill="1" applyBorder="1" applyAlignment="1">
      <alignment horizontal="center" vertical="top"/>
    </xf>
    <xf numFmtId="0" fontId="14" fillId="0" borderId="0" xfId="0" applyFont="1" applyFill="1" applyBorder="1" applyAlignment="1">
      <alignment vertical="top" wrapText="1"/>
    </xf>
    <xf numFmtId="0" fontId="15" fillId="0" borderId="0" xfId="0" applyFont="1" applyFill="1" applyBorder="1" applyAlignment="1">
      <alignment horizontal="center" vertical="top"/>
    </xf>
    <xf numFmtId="0" fontId="10" fillId="0" borderId="0" xfId="0" applyFont="1" applyFill="1" applyBorder="1" applyAlignment="1">
      <alignment horizontal="left" wrapText="1"/>
    </xf>
    <xf numFmtId="4" fontId="9" fillId="5" borderId="0" xfId="0" applyNumberFormat="1" applyFont="1" applyFill="1" applyBorder="1" applyAlignment="1">
      <alignment horizontal="center" vertical="top" wrapText="1"/>
    </xf>
    <xf numFmtId="4" fontId="0" fillId="5" borderId="0" xfId="0" applyNumberFormat="1" applyFill="1" applyAlignment="1">
      <alignment horizontal="center"/>
    </xf>
    <xf numFmtId="10" fontId="0" fillId="5" borderId="0" xfId="0" applyNumberFormat="1" applyFill="1" applyAlignment="1">
      <alignment horizontal="center"/>
    </xf>
    <xf numFmtId="0" fontId="16" fillId="0" borderId="0" xfId="0" applyFont="1" applyFill="1" applyBorder="1" applyAlignment="1">
      <alignment vertical="top" wrapText="1"/>
    </xf>
    <xf numFmtId="0" fontId="17" fillId="0" borderId="0" xfId="0" applyFont="1"/>
    <xf numFmtId="4" fontId="0" fillId="8" borderId="0" xfId="0" applyNumberFormat="1" applyFill="1" applyAlignment="1">
      <alignment horizontal="center"/>
    </xf>
    <xf numFmtId="4" fontId="0" fillId="7" borderId="0" xfId="0" applyNumberFormat="1" applyFill="1" applyAlignment="1">
      <alignment horizontal="center"/>
    </xf>
    <xf numFmtId="0" fontId="8" fillId="0" borderId="0" xfId="0" applyFont="1"/>
    <xf numFmtId="4" fontId="7" fillId="0" borderId="0" xfId="0" applyNumberFormat="1" applyFont="1" applyAlignment="1">
      <alignment horizontal="center"/>
    </xf>
    <xf numFmtId="4" fontId="0" fillId="5" borderId="0" xfId="0" applyNumberFormat="1" applyFill="1" applyAlignment="1">
      <alignment horizontal="center" wrapText="1"/>
    </xf>
    <xf numFmtId="4" fontId="0" fillId="5" borderId="0" xfId="0" applyNumberFormat="1" applyFont="1" applyFill="1" applyAlignment="1">
      <alignment horizontal="center"/>
    </xf>
    <xf numFmtId="167" fontId="0" fillId="0" borderId="0" xfId="0" applyNumberFormat="1" applyAlignment="1">
      <alignment horizontal="center"/>
    </xf>
    <xf numFmtId="10" fontId="0" fillId="7" borderId="0" xfId="0" applyNumberFormat="1" applyFill="1" applyAlignment="1">
      <alignment horizontal="center"/>
    </xf>
    <xf numFmtId="168" fontId="2" fillId="3" borderId="0" xfId="1" applyNumberFormat="1" applyFont="1" applyFill="1" applyAlignment="1">
      <alignment horizontal="center"/>
    </xf>
    <xf numFmtId="166" fontId="2" fillId="3" borderId="0" xfId="0" applyNumberFormat="1" applyFont="1" applyFill="1" applyAlignment="1">
      <alignment horizontal="center"/>
    </xf>
    <xf numFmtId="0" fontId="0" fillId="0" borderId="0" xfId="0" applyAlignment="1">
      <alignment horizontal="center"/>
    </xf>
    <xf numFmtId="4" fontId="10" fillId="0" borderId="0" xfId="0" applyNumberFormat="1" applyFont="1" applyBorder="1" applyAlignment="1">
      <alignment horizontal="center" vertical="top" wrapText="1"/>
    </xf>
    <xf numFmtId="0" fontId="16" fillId="9" borderId="0" xfId="0" applyFont="1" applyFill="1" applyBorder="1" applyAlignment="1">
      <alignment horizontal="left" vertical="top" wrapText="1"/>
    </xf>
    <xf numFmtId="4" fontId="13" fillId="6" borderId="0" xfId="0" applyNumberFormat="1" applyFont="1" applyFill="1" applyBorder="1" applyAlignment="1">
      <alignment horizontal="center" vertical="center" wrapText="1"/>
    </xf>
    <xf numFmtId="0" fontId="9" fillId="2" borderId="3"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 xfId="0" applyFont="1" applyFill="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2A53B"/>
      <rgbColor rgb="00FFFFFF"/>
      <rgbColor rgb="00FFFFCC"/>
      <rgbColor rgb="0000FF00"/>
      <rgbColor rgb="000000FF"/>
      <rgbColor rgb="00FFFF00"/>
      <rgbColor rgb="00FFFF6B"/>
      <rgbColor rgb="0000FFFF"/>
      <rgbColor rgb="00D8E7BB"/>
      <rgbColor rgb="00008000"/>
      <rgbColor rgb="00000080"/>
      <rgbColor rgb="00808000"/>
      <rgbColor rgb="00800080"/>
      <rgbColor rgb="00008080"/>
      <rgbColor rgb="00C0C0C0"/>
      <rgbColor rgb="00808080"/>
      <rgbColor rgb="0082A53B"/>
      <rgbColor rgb="00D8E7BB"/>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0"/>
  <sheetViews>
    <sheetView topLeftCell="A47" workbookViewId="0">
      <selection activeCell="D51" sqref="D51"/>
    </sheetView>
  </sheetViews>
  <sheetFormatPr defaultRowHeight="12.75" x14ac:dyDescent="0.2"/>
  <cols>
    <col min="2" max="2" width="31" customWidth="1"/>
    <col min="3" max="4" width="17" style="2" customWidth="1"/>
    <col min="5" max="5" width="17.28515625" bestFit="1" customWidth="1"/>
  </cols>
  <sheetData>
    <row r="2" spans="2:4" x14ac:dyDescent="0.2">
      <c r="B2" t="s">
        <v>130</v>
      </c>
    </row>
    <row r="3" spans="2:4" x14ac:dyDescent="0.2">
      <c r="B3" s="60" t="s">
        <v>131</v>
      </c>
    </row>
    <row r="6" spans="2:4" ht="15" x14ac:dyDescent="0.25">
      <c r="B6" s="1" t="s">
        <v>93</v>
      </c>
    </row>
    <row r="8" spans="2:4" ht="15" x14ac:dyDescent="0.25">
      <c r="B8" s="3" t="s">
        <v>94</v>
      </c>
    </row>
    <row r="9" spans="2:4" x14ac:dyDescent="0.2">
      <c r="B9" s="4" t="s">
        <v>95</v>
      </c>
    </row>
    <row r="10" spans="2:4" x14ac:dyDescent="0.2">
      <c r="B10" s="4"/>
    </row>
    <row r="11" spans="2:4" ht="15" x14ac:dyDescent="0.25">
      <c r="B11" s="5" t="s">
        <v>96</v>
      </c>
      <c r="C11" s="71" t="s">
        <v>97</v>
      </c>
      <c r="D11" s="71"/>
    </row>
    <row r="12" spans="2:4" ht="15" x14ac:dyDescent="0.25">
      <c r="B12" s="6" t="s">
        <v>98</v>
      </c>
      <c r="C12" s="2" t="s">
        <v>89</v>
      </c>
      <c r="D12" s="2" t="s">
        <v>90</v>
      </c>
    </row>
    <row r="13" spans="2:4" x14ac:dyDescent="0.2">
      <c r="B13" t="s">
        <v>99</v>
      </c>
      <c r="C13" s="8">
        <v>80000</v>
      </c>
      <c r="D13" s="8">
        <v>90000</v>
      </c>
    </row>
    <row r="14" spans="2:4" x14ac:dyDescent="0.2">
      <c r="B14" t="s">
        <v>91</v>
      </c>
      <c r="C14" s="7">
        <v>8000000</v>
      </c>
      <c r="D14" s="7">
        <v>10800000</v>
      </c>
    </row>
    <row r="15" spans="2:4" x14ac:dyDescent="0.2">
      <c r="B15" t="s">
        <v>100</v>
      </c>
      <c r="C15" s="8">
        <v>1840000</v>
      </c>
      <c r="D15" s="8">
        <v>2700000</v>
      </c>
    </row>
    <row r="16" spans="2:4" x14ac:dyDescent="0.2">
      <c r="B16" t="s">
        <v>101</v>
      </c>
      <c r="C16" s="7">
        <v>6160000</v>
      </c>
      <c r="D16" s="7">
        <v>8100000</v>
      </c>
    </row>
    <row r="17" spans="1:5" ht="15" x14ac:dyDescent="0.25">
      <c r="B17" t="s">
        <v>102</v>
      </c>
      <c r="C17" s="8">
        <v>36960000</v>
      </c>
      <c r="D17" s="69">
        <f>C17/C16*D16</f>
        <v>48600000</v>
      </c>
    </row>
    <row r="19" spans="1:5" ht="15" x14ac:dyDescent="0.25">
      <c r="B19" s="6" t="s">
        <v>103</v>
      </c>
    </row>
    <row r="20" spans="1:5" x14ac:dyDescent="0.2">
      <c r="B20" t="s">
        <v>91</v>
      </c>
      <c r="C20" s="7">
        <v>100</v>
      </c>
      <c r="D20" s="7">
        <v>120</v>
      </c>
    </row>
    <row r="21" spans="1:5" x14ac:dyDescent="0.2">
      <c r="B21" t="s">
        <v>100</v>
      </c>
      <c r="C21" s="2">
        <v>23</v>
      </c>
      <c r="D21" s="2">
        <v>30</v>
      </c>
    </row>
    <row r="22" spans="1:5" ht="15" x14ac:dyDescent="0.25">
      <c r="B22" t="s">
        <v>102</v>
      </c>
      <c r="C22" s="8">
        <v>462</v>
      </c>
      <c r="D22" s="70">
        <f>D17/D13</f>
        <v>540</v>
      </c>
    </row>
    <row r="24" spans="1:5" ht="15" x14ac:dyDescent="0.25">
      <c r="A24" t="s">
        <v>121</v>
      </c>
      <c r="B24" s="5" t="s">
        <v>141</v>
      </c>
      <c r="D24" s="9" t="s">
        <v>104</v>
      </c>
    </row>
    <row r="26" spans="1:5" x14ac:dyDescent="0.2">
      <c r="B26" t="s">
        <v>135</v>
      </c>
      <c r="C26" s="61">
        <v>80000</v>
      </c>
      <c r="D26" s="61">
        <f>D13</f>
        <v>90000</v>
      </c>
    </row>
    <row r="27" spans="1:5" x14ac:dyDescent="0.2">
      <c r="B27" t="s">
        <v>134</v>
      </c>
      <c r="C27" s="61">
        <v>462</v>
      </c>
      <c r="D27" s="62">
        <f>D26/C26*C27</f>
        <v>519.75</v>
      </c>
      <c r="E27" t="s">
        <v>138</v>
      </c>
    </row>
    <row r="28" spans="1:5" x14ac:dyDescent="0.2">
      <c r="B28" t="s">
        <v>136</v>
      </c>
      <c r="C28" s="61">
        <v>36960000</v>
      </c>
      <c r="D28" s="61">
        <f>D17</f>
        <v>48600000</v>
      </c>
    </row>
    <row r="29" spans="1:5" x14ac:dyDescent="0.2">
      <c r="C29" s="8"/>
      <c r="D29" s="8"/>
    </row>
    <row r="30" spans="1:5" ht="15" x14ac:dyDescent="0.25">
      <c r="A30" t="s">
        <v>122</v>
      </c>
      <c r="B30" s="5" t="s">
        <v>140</v>
      </c>
      <c r="C30" s="8"/>
      <c r="D30" s="64" t="s">
        <v>104</v>
      </c>
    </row>
    <row r="31" spans="1:5" x14ac:dyDescent="0.2">
      <c r="C31" s="8"/>
      <c r="D31" s="8"/>
    </row>
    <row r="32" spans="1:5" x14ac:dyDescent="0.2">
      <c r="B32" t="s">
        <v>133</v>
      </c>
      <c r="C32" s="61">
        <f>C16</f>
        <v>6160000</v>
      </c>
      <c r="D32" s="61">
        <f>D16</f>
        <v>8100000</v>
      </c>
    </row>
    <row r="33" spans="1:5" x14ac:dyDescent="0.2">
      <c r="B33" t="s">
        <v>132</v>
      </c>
      <c r="C33" s="61">
        <f>C17/C16</f>
        <v>6</v>
      </c>
      <c r="D33" s="62">
        <f>D34/D32</f>
        <v>6</v>
      </c>
      <c r="E33" t="s">
        <v>138</v>
      </c>
    </row>
    <row r="34" spans="1:5" x14ac:dyDescent="0.2">
      <c r="B34" t="s">
        <v>137</v>
      </c>
      <c r="C34" s="61">
        <f>C17</f>
        <v>36960000</v>
      </c>
      <c r="D34" s="61">
        <f>D17</f>
        <v>48600000</v>
      </c>
    </row>
    <row r="35" spans="1:5" x14ac:dyDescent="0.2">
      <c r="C35" s="8"/>
      <c r="D35" s="8"/>
    </row>
    <row r="36" spans="1:5" x14ac:dyDescent="0.2">
      <c r="A36" t="s">
        <v>115</v>
      </c>
      <c r="B36" s="63" t="s">
        <v>139</v>
      </c>
      <c r="C36" s="8"/>
      <c r="D36" s="8"/>
    </row>
    <row r="37" spans="1:5" x14ac:dyDescent="0.2">
      <c r="C37" s="8"/>
      <c r="D37" s="8"/>
    </row>
    <row r="38" spans="1:5" ht="15" x14ac:dyDescent="0.25">
      <c r="B38" s="5" t="s">
        <v>105</v>
      </c>
      <c r="C38" s="8"/>
      <c r="D38" s="8"/>
    </row>
    <row r="39" spans="1:5" x14ac:dyDescent="0.2">
      <c r="B39" t="s">
        <v>106</v>
      </c>
      <c r="C39" s="67">
        <v>5.5E-2</v>
      </c>
      <c r="D39" s="67">
        <v>5.5E-2</v>
      </c>
    </row>
    <row r="40" spans="1:5" x14ac:dyDescent="0.2">
      <c r="B40" t="s">
        <v>107</v>
      </c>
      <c r="C40" s="61">
        <f>(C21*C13*1.055)/16.67%</f>
        <v>11644871.025794839</v>
      </c>
      <c r="D40" s="57">
        <v>49090909.090909094</v>
      </c>
    </row>
    <row r="41" spans="1:5" x14ac:dyDescent="0.2">
      <c r="C41" s="8"/>
      <c r="D41" s="8"/>
    </row>
    <row r="42" spans="1:5" ht="15" x14ac:dyDescent="0.25">
      <c r="B42" s="5" t="s">
        <v>108</v>
      </c>
      <c r="C42" s="8"/>
      <c r="D42" s="8"/>
    </row>
    <row r="43" spans="1:5" x14ac:dyDescent="0.2">
      <c r="B43" t="s">
        <v>109</v>
      </c>
      <c r="C43" s="57">
        <f>C14/16.67%</f>
        <v>47990401.919616073</v>
      </c>
      <c r="D43" s="57">
        <v>95059636</v>
      </c>
    </row>
    <row r="44" spans="1:5" x14ac:dyDescent="0.2">
      <c r="B44" t="s">
        <v>110</v>
      </c>
      <c r="C44" s="58">
        <v>0.16669999999999999</v>
      </c>
      <c r="D44" s="68">
        <f>D43/C43*C44</f>
        <v>0.330200221030505</v>
      </c>
      <c r="E44" t="s">
        <v>142</v>
      </c>
    </row>
    <row r="45" spans="1:5" x14ac:dyDescent="0.2">
      <c r="C45" s="8"/>
      <c r="D45" s="8"/>
    </row>
    <row r="46" spans="1:5" ht="15" x14ac:dyDescent="0.25">
      <c r="B46" s="5" t="s">
        <v>111</v>
      </c>
      <c r="C46" s="8"/>
      <c r="D46" s="8"/>
    </row>
    <row r="47" spans="1:5" x14ac:dyDescent="0.2">
      <c r="C47" s="8"/>
      <c r="D47" s="8"/>
    </row>
    <row r="48" spans="1:5" x14ac:dyDescent="0.2">
      <c r="B48" s="10" t="s">
        <v>112</v>
      </c>
      <c r="C48" s="8"/>
      <c r="D48" s="65">
        <f>D43-D40</f>
        <v>45968726.909090906</v>
      </c>
    </row>
    <row r="49" spans="2:4" x14ac:dyDescent="0.2">
      <c r="B49" t="s">
        <v>113</v>
      </c>
      <c r="C49" s="8"/>
      <c r="D49" s="66">
        <f>D48/D13</f>
        <v>510.76363232323229</v>
      </c>
    </row>
    <row r="50" spans="2:4" ht="15" x14ac:dyDescent="0.25">
      <c r="B50" s="6"/>
    </row>
  </sheetData>
  <mergeCells count="1">
    <mergeCell ref="C11:D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U118"/>
  <sheetViews>
    <sheetView tabSelected="1" zoomScaleNormal="100" workbookViewId="0">
      <pane xSplit="3" ySplit="5" topLeftCell="F6" activePane="bottomRight" state="frozen"/>
      <selection pane="topRight" activeCell="D1" sqref="D1"/>
      <selection pane="bottomLeft" activeCell="A6" sqref="A6"/>
      <selection pane="bottomRight" activeCell="B30" sqref="B30"/>
    </sheetView>
  </sheetViews>
  <sheetFormatPr defaultColWidth="8.85546875" defaultRowHeight="12.75" x14ac:dyDescent="0.2"/>
  <cols>
    <col min="1" max="1" width="12.7109375" style="11" customWidth="1"/>
    <col min="2" max="2" width="41.140625" style="11" customWidth="1"/>
    <col min="3" max="3" width="14.5703125" style="29" customWidth="1"/>
    <col min="4" max="4" width="10.7109375" style="45" customWidth="1"/>
    <col min="5" max="5" width="17" style="29" customWidth="1"/>
    <col min="6" max="7" width="18.85546875" style="29" customWidth="1"/>
    <col min="8" max="8" width="17.28515625" style="29" customWidth="1"/>
    <col min="9" max="9" width="17.42578125" style="11" bestFit="1" customWidth="1"/>
    <col min="10" max="10" width="23" style="11" customWidth="1"/>
    <col min="11" max="11" width="15" style="11" customWidth="1"/>
    <col min="12" max="12" width="18.28515625" style="11" customWidth="1"/>
    <col min="13" max="15" width="15" style="11" customWidth="1"/>
    <col min="16" max="16" width="10.7109375" style="11" customWidth="1"/>
    <col min="17" max="34" width="9.140625" style="11" customWidth="1"/>
    <col min="35" max="16384" width="8.85546875" style="11"/>
  </cols>
  <sheetData>
    <row r="1" spans="1:16" x14ac:dyDescent="0.2">
      <c r="A1" s="11" t="s">
        <v>114</v>
      </c>
    </row>
    <row r="3" spans="1:16" x14ac:dyDescent="0.2">
      <c r="B3" s="35" t="s">
        <v>117</v>
      </c>
      <c r="C3" s="37" t="s">
        <v>126</v>
      </c>
      <c r="D3" s="46"/>
      <c r="E3" s="74" t="s">
        <v>118</v>
      </c>
      <c r="F3" s="74"/>
      <c r="G3" s="74"/>
      <c r="H3" s="74"/>
      <c r="I3" s="12"/>
      <c r="J3" s="12"/>
      <c r="K3" s="12"/>
      <c r="L3" s="12"/>
      <c r="M3" s="12"/>
      <c r="N3" s="12"/>
      <c r="O3" s="12"/>
      <c r="P3" s="12"/>
    </row>
    <row r="4" spans="1:16" x14ac:dyDescent="0.2">
      <c r="A4" s="13"/>
    </row>
    <row r="5" spans="1:16" s="13" customFormat="1" x14ac:dyDescent="0.2">
      <c r="B5" s="23" t="s">
        <v>52</v>
      </c>
      <c r="C5" s="32" t="s">
        <v>62</v>
      </c>
      <c r="D5" s="14"/>
      <c r="E5" s="32" t="s">
        <v>53</v>
      </c>
      <c r="F5" s="32" t="s">
        <v>54</v>
      </c>
      <c r="G5" s="32" t="s">
        <v>55</v>
      </c>
      <c r="H5" s="32" t="s">
        <v>56</v>
      </c>
      <c r="I5" s="11"/>
      <c r="J5" s="11"/>
      <c r="K5" s="11"/>
    </row>
    <row r="6" spans="1:16" x14ac:dyDescent="0.2">
      <c r="B6" s="24" t="s">
        <v>57</v>
      </c>
      <c r="C6" s="39" t="s">
        <v>62</v>
      </c>
      <c r="D6" s="47"/>
      <c r="E6" s="39" t="s">
        <v>58</v>
      </c>
      <c r="F6" s="39" t="s">
        <v>59</v>
      </c>
      <c r="G6" s="39" t="s">
        <v>60</v>
      </c>
      <c r="H6" s="39" t="s">
        <v>61</v>
      </c>
    </row>
    <row r="7" spans="1:16" s="40" customFormat="1" x14ac:dyDescent="0.2">
      <c r="B7" s="42" t="s">
        <v>63</v>
      </c>
      <c r="C7" s="41">
        <v>38352</v>
      </c>
      <c r="D7" s="48"/>
      <c r="E7" s="41">
        <v>38352</v>
      </c>
      <c r="F7" s="41">
        <v>38352</v>
      </c>
      <c r="G7" s="41">
        <v>38352</v>
      </c>
      <c r="H7" s="41">
        <v>38352</v>
      </c>
    </row>
    <row r="8" spans="1:16" x14ac:dyDescent="0.2">
      <c r="B8" s="24"/>
      <c r="C8" s="39"/>
      <c r="D8" s="47"/>
      <c r="E8" s="39"/>
      <c r="F8" s="39"/>
      <c r="G8" s="39"/>
      <c r="H8" s="39"/>
    </row>
    <row r="9" spans="1:16" x14ac:dyDescent="0.2">
      <c r="B9" s="25" t="s">
        <v>64</v>
      </c>
      <c r="C9" s="39"/>
      <c r="D9" s="49"/>
      <c r="E9" s="32"/>
      <c r="F9" s="32"/>
      <c r="G9" s="32"/>
      <c r="H9" s="32"/>
    </row>
    <row r="10" spans="1:16" x14ac:dyDescent="0.2">
      <c r="B10" s="24" t="s">
        <v>65</v>
      </c>
      <c r="C10" s="32">
        <v>5618000</v>
      </c>
      <c r="D10" s="47"/>
      <c r="E10" s="32">
        <v>1947601</v>
      </c>
      <c r="F10" s="32">
        <v>2709268</v>
      </c>
      <c r="G10" s="32">
        <v>9189000</v>
      </c>
      <c r="H10" s="32">
        <v>5332577</v>
      </c>
    </row>
    <row r="11" spans="1:16" x14ac:dyDescent="0.2">
      <c r="B11" s="26" t="s">
        <v>66</v>
      </c>
      <c r="C11" s="39">
        <v>1040000</v>
      </c>
      <c r="D11" s="14"/>
      <c r="E11" s="39">
        <v>436998</v>
      </c>
      <c r="F11" s="39">
        <v>204821</v>
      </c>
      <c r="G11" s="39">
        <v>1535000</v>
      </c>
      <c r="H11" s="39">
        <v>946639</v>
      </c>
    </row>
    <row r="12" spans="1:16" x14ac:dyDescent="0.2">
      <c r="B12" s="24" t="s">
        <v>67</v>
      </c>
      <c r="C12" s="32">
        <f>C10-C11</f>
        <v>4578000</v>
      </c>
      <c r="D12" s="47"/>
      <c r="E12" s="32">
        <v>1510603</v>
      </c>
      <c r="F12" s="32">
        <v>2504447</v>
      </c>
      <c r="G12" s="32">
        <v>7654000</v>
      </c>
      <c r="H12" s="32">
        <v>4385938</v>
      </c>
    </row>
    <row r="13" spans="1:16" x14ac:dyDescent="0.2">
      <c r="B13" s="24" t="s">
        <v>68</v>
      </c>
      <c r="C13" s="39"/>
      <c r="D13" s="47"/>
      <c r="E13" s="39"/>
      <c r="F13" s="39"/>
      <c r="G13" s="39"/>
      <c r="H13" s="39"/>
    </row>
    <row r="14" spans="1:16" x14ac:dyDescent="0.2">
      <c r="B14" s="26" t="s">
        <v>69</v>
      </c>
      <c r="C14" s="39">
        <v>215000</v>
      </c>
      <c r="D14" s="14"/>
      <c r="E14" s="39">
        <v>165092</v>
      </c>
      <c r="F14" s="39">
        <v>896290</v>
      </c>
      <c r="G14" s="39">
        <v>1616000</v>
      </c>
      <c r="H14" s="39">
        <v>173194</v>
      </c>
    </row>
    <row r="15" spans="1:16" x14ac:dyDescent="0.2">
      <c r="B15" s="26" t="s">
        <v>70</v>
      </c>
      <c r="C15" s="39">
        <v>1137000</v>
      </c>
      <c r="D15" s="14"/>
      <c r="E15" s="39">
        <v>414341</v>
      </c>
      <c r="F15" s="39">
        <v>615822</v>
      </c>
      <c r="G15" s="39">
        <v>2334000</v>
      </c>
      <c r="H15" s="39">
        <v>1270683</v>
      </c>
    </row>
    <row r="16" spans="1:16" x14ac:dyDescent="0.2">
      <c r="B16" s="26" t="s">
        <v>71</v>
      </c>
      <c r="C16" s="39">
        <v>640000</v>
      </c>
      <c r="D16" s="14"/>
      <c r="E16" s="39">
        <v>11880</v>
      </c>
      <c r="F16" s="39">
        <v>0</v>
      </c>
      <c r="G16" s="39">
        <v>0</v>
      </c>
      <c r="H16" s="39">
        <v>162493</v>
      </c>
    </row>
    <row r="17" spans="2:8" x14ac:dyDescent="0.2">
      <c r="B17" s="24" t="s">
        <v>72</v>
      </c>
      <c r="C17" s="32">
        <f>C12-C14-C15-C16</f>
        <v>2586000</v>
      </c>
      <c r="D17" s="47"/>
      <c r="E17" s="32">
        <f>E12-E14-E15-E16</f>
        <v>919290</v>
      </c>
      <c r="F17" s="32">
        <f>F12-F14-F15-F16</f>
        <v>992335</v>
      </c>
      <c r="G17" s="32">
        <f>G12-G14-G15-G16</f>
        <v>3704000</v>
      </c>
      <c r="H17" s="32">
        <f>H12-H14-H15-H16</f>
        <v>2779568</v>
      </c>
    </row>
    <row r="18" spans="2:8" x14ac:dyDescent="0.2">
      <c r="B18" s="24" t="s">
        <v>73</v>
      </c>
      <c r="C18" s="39"/>
      <c r="D18" s="47"/>
      <c r="E18" s="39"/>
      <c r="F18" s="39"/>
      <c r="G18" s="39"/>
      <c r="H18" s="39"/>
    </row>
    <row r="19" spans="2:8" x14ac:dyDescent="0.2">
      <c r="B19" s="26" t="s">
        <v>74</v>
      </c>
      <c r="C19" s="39">
        <v>0</v>
      </c>
      <c r="D19" s="14"/>
      <c r="E19" s="39">
        <v>0</v>
      </c>
      <c r="F19" s="39">
        <v>-20081</v>
      </c>
      <c r="G19" s="39">
        <v>64000</v>
      </c>
      <c r="H19" s="39">
        <v>857</v>
      </c>
    </row>
    <row r="20" spans="2:8" s="15" customFormat="1" x14ac:dyDescent="0.2">
      <c r="B20" s="24" t="s">
        <v>76</v>
      </c>
      <c r="C20" s="32">
        <f>C17+C19</f>
        <v>2586000</v>
      </c>
      <c r="D20" s="47"/>
      <c r="E20" s="32">
        <f>E17+E19</f>
        <v>919290</v>
      </c>
      <c r="F20" s="32">
        <f>F17+F19</f>
        <v>972254</v>
      </c>
      <c r="G20" s="32">
        <f>G17+G19</f>
        <v>3768000</v>
      </c>
      <c r="H20" s="32">
        <f>H17+H19</f>
        <v>2780425</v>
      </c>
    </row>
    <row r="21" spans="2:8" x14ac:dyDescent="0.2">
      <c r="B21" s="26" t="s">
        <v>77</v>
      </c>
      <c r="C21" s="39">
        <v>282000</v>
      </c>
      <c r="D21" s="14"/>
      <c r="E21" s="39">
        <v>93661</v>
      </c>
      <c r="F21" s="39">
        <v>167328</v>
      </c>
      <c r="G21" s="39">
        <v>475000</v>
      </c>
      <c r="H21" s="39">
        <v>117342</v>
      </c>
    </row>
    <row r="22" spans="2:8" s="15" customFormat="1" x14ac:dyDescent="0.2">
      <c r="B22" s="24" t="s">
        <v>78</v>
      </c>
      <c r="C22" s="32">
        <f>C20-C21</f>
        <v>2304000</v>
      </c>
      <c r="D22" s="47"/>
      <c r="E22" s="32">
        <f>E20-E21</f>
        <v>825629</v>
      </c>
      <c r="F22" s="32">
        <f>F20-F21</f>
        <v>804926</v>
      </c>
      <c r="G22" s="32">
        <f>G20-G21</f>
        <v>3293000</v>
      </c>
      <c r="H22" s="32">
        <f>H20-H21</f>
        <v>2663083</v>
      </c>
    </row>
    <row r="23" spans="2:8" x14ac:dyDescent="0.2">
      <c r="B23" s="26" t="s">
        <v>79</v>
      </c>
      <c r="C23" s="39">
        <v>777000</v>
      </c>
      <c r="D23" s="14"/>
      <c r="E23" s="39">
        <v>317738</v>
      </c>
      <c r="F23" s="39">
        <v>289771</v>
      </c>
      <c r="G23" s="39">
        <v>1107000</v>
      </c>
      <c r="H23" s="39">
        <v>993012</v>
      </c>
    </row>
    <row r="24" spans="2:8" s="15" customFormat="1" x14ac:dyDescent="0.2">
      <c r="B24" s="24" t="s">
        <v>80</v>
      </c>
      <c r="C24" s="32">
        <f>C22-C23</f>
        <v>1527000</v>
      </c>
      <c r="D24" s="47"/>
      <c r="E24" s="32">
        <f>E22-E23</f>
        <v>507891</v>
      </c>
      <c r="F24" s="32">
        <f>F22-F23</f>
        <v>515155</v>
      </c>
      <c r="G24" s="32">
        <f>G22-G23</f>
        <v>2186000</v>
      </c>
      <c r="H24" s="32">
        <f>H22-H23</f>
        <v>1670071</v>
      </c>
    </row>
    <row r="25" spans="2:8" x14ac:dyDescent="0.2">
      <c r="B25" s="24" t="s">
        <v>81</v>
      </c>
      <c r="C25" s="39"/>
      <c r="D25" s="47"/>
      <c r="E25" s="39"/>
      <c r="F25" s="39"/>
      <c r="G25" s="39"/>
      <c r="H25" s="39"/>
    </row>
    <row r="26" spans="2:8" x14ac:dyDescent="0.2">
      <c r="B26" s="26" t="s">
        <v>82</v>
      </c>
      <c r="C26" s="39">
        <v>0</v>
      </c>
      <c r="D26" s="14"/>
      <c r="E26" s="39">
        <v>0</v>
      </c>
      <c r="F26" s="39">
        <v>0</v>
      </c>
      <c r="G26" s="39">
        <v>0</v>
      </c>
      <c r="H26" s="39">
        <v>-1317</v>
      </c>
    </row>
    <row r="27" spans="2:8" x14ac:dyDescent="0.2">
      <c r="B27" s="24" t="s">
        <v>51</v>
      </c>
      <c r="C27" s="32">
        <v>1527000</v>
      </c>
      <c r="D27" s="47"/>
      <c r="E27" s="32">
        <v>507882</v>
      </c>
      <c r="F27" s="32">
        <v>515155</v>
      </c>
      <c r="G27" s="32">
        <v>2186000</v>
      </c>
      <c r="H27" s="32">
        <v>1668754</v>
      </c>
    </row>
    <row r="28" spans="2:8" x14ac:dyDescent="0.2">
      <c r="B28" s="26" t="s">
        <v>83</v>
      </c>
      <c r="C28" s="39">
        <v>0</v>
      </c>
      <c r="D28" s="14"/>
      <c r="E28" s="39">
        <v>0</v>
      </c>
      <c r="F28" s="39">
        <v>0</v>
      </c>
      <c r="G28" s="39">
        <v>-10000</v>
      </c>
      <c r="H28" s="39">
        <v>-5680</v>
      </c>
    </row>
    <row r="29" spans="2:8" x14ac:dyDescent="0.2">
      <c r="B29" s="24" t="s">
        <v>84</v>
      </c>
      <c r="C29" s="32">
        <v>1527000</v>
      </c>
      <c r="D29" s="47"/>
      <c r="E29" s="32">
        <v>507882</v>
      </c>
      <c r="F29" s="32">
        <v>515155</v>
      </c>
      <c r="G29" s="32">
        <v>2176000</v>
      </c>
      <c r="H29" s="32">
        <v>1663074</v>
      </c>
    </row>
    <row r="30" spans="2:8" x14ac:dyDescent="0.2">
      <c r="B30" s="24"/>
      <c r="C30" s="32"/>
      <c r="D30" s="47"/>
      <c r="E30" s="32"/>
      <c r="F30" s="32"/>
      <c r="G30" s="32"/>
      <c r="H30" s="32"/>
    </row>
    <row r="31" spans="2:8" x14ac:dyDescent="0.2">
      <c r="B31" s="25" t="s">
        <v>85</v>
      </c>
      <c r="C31" s="39"/>
      <c r="D31" s="49"/>
      <c r="E31" s="32"/>
      <c r="F31" s="39"/>
      <c r="G31" s="39"/>
      <c r="H31" s="39"/>
    </row>
    <row r="32" spans="2:8" x14ac:dyDescent="0.2">
      <c r="B32" s="16"/>
      <c r="C32" s="39"/>
      <c r="D32" s="50"/>
      <c r="E32" s="32"/>
      <c r="F32" s="39"/>
      <c r="G32" s="39"/>
      <c r="H32" s="39"/>
    </row>
    <row r="33" spans="2:21" x14ac:dyDescent="0.2">
      <c r="B33" s="24" t="s">
        <v>86</v>
      </c>
      <c r="C33" s="39"/>
      <c r="D33" s="47"/>
      <c r="E33" s="32"/>
      <c r="F33" s="32"/>
      <c r="G33" s="32"/>
      <c r="H33" s="32"/>
      <c r="Q33" s="17"/>
      <c r="R33" s="18"/>
      <c r="S33" s="18"/>
      <c r="T33" s="18"/>
      <c r="U33" s="18"/>
    </row>
    <row r="34" spans="2:21" x14ac:dyDescent="0.2">
      <c r="B34" s="24" t="s">
        <v>87</v>
      </c>
      <c r="C34" s="39"/>
      <c r="D34" s="47"/>
      <c r="E34" s="32"/>
      <c r="F34" s="39"/>
      <c r="G34" s="39"/>
      <c r="H34" s="39"/>
      <c r="Q34" s="18"/>
      <c r="R34" s="18"/>
      <c r="S34" s="18"/>
      <c r="T34" s="18"/>
      <c r="U34" s="18"/>
    </row>
    <row r="35" spans="2:21" x14ac:dyDescent="0.2">
      <c r="B35" s="26" t="s">
        <v>1</v>
      </c>
      <c r="C35" s="39">
        <v>2179000</v>
      </c>
      <c r="D35" s="14"/>
      <c r="E35" s="39">
        <v>9700</v>
      </c>
      <c r="F35" s="39">
        <v>6896</v>
      </c>
      <c r="G35" s="39">
        <v>1152000</v>
      </c>
      <c r="H35" s="39">
        <v>111093</v>
      </c>
      <c r="I35" s="19"/>
      <c r="Q35" s="18"/>
      <c r="R35" s="18"/>
      <c r="S35" s="18"/>
      <c r="T35" s="18"/>
      <c r="U35" s="18"/>
    </row>
    <row r="36" spans="2:21" x14ac:dyDescent="0.2">
      <c r="B36" s="26" t="s">
        <v>2</v>
      </c>
      <c r="C36" s="39">
        <v>0</v>
      </c>
      <c r="D36" s="14"/>
      <c r="E36" s="39">
        <v>14713</v>
      </c>
      <c r="F36" s="39">
        <v>51061</v>
      </c>
      <c r="G36" s="39">
        <v>968000</v>
      </c>
      <c r="H36" s="39">
        <v>0</v>
      </c>
      <c r="Q36" s="18"/>
      <c r="R36" s="18"/>
      <c r="S36" s="18"/>
      <c r="T36" s="18"/>
      <c r="U36" s="18"/>
    </row>
    <row r="37" spans="2:21" x14ac:dyDescent="0.2">
      <c r="B37" s="26" t="s">
        <v>3</v>
      </c>
      <c r="C37" s="39">
        <v>994000</v>
      </c>
      <c r="D37" s="14"/>
      <c r="E37" s="39">
        <v>364836</v>
      </c>
      <c r="F37" s="39">
        <v>477436</v>
      </c>
      <c r="G37" s="39">
        <v>1320000</v>
      </c>
      <c r="H37" s="39">
        <v>1022625</v>
      </c>
      <c r="Q37" s="18"/>
      <c r="R37" s="18"/>
      <c r="S37" s="18"/>
      <c r="T37" s="18"/>
      <c r="U37" s="18"/>
    </row>
    <row r="38" spans="2:21" x14ac:dyDescent="0.2">
      <c r="B38" s="26" t="s">
        <v>4</v>
      </c>
      <c r="C38" s="39">
        <v>124000</v>
      </c>
      <c r="D38" s="14"/>
      <c r="E38" s="39">
        <v>0</v>
      </c>
      <c r="F38" s="39">
        <v>32147</v>
      </c>
      <c r="G38" s="39" t="s">
        <v>75</v>
      </c>
      <c r="H38" s="39">
        <v>157293</v>
      </c>
      <c r="Q38" s="18"/>
      <c r="R38" s="18"/>
      <c r="S38" s="18"/>
      <c r="T38" s="18"/>
      <c r="U38" s="18"/>
    </row>
    <row r="39" spans="2:21" x14ac:dyDescent="0.2">
      <c r="B39" s="26" t="s">
        <v>5</v>
      </c>
      <c r="C39" s="39">
        <v>158000</v>
      </c>
      <c r="D39" s="14"/>
      <c r="E39" s="39">
        <v>47716</v>
      </c>
      <c r="F39" s="39">
        <v>0</v>
      </c>
      <c r="G39" s="39">
        <v>143000</v>
      </c>
      <c r="H39" s="39">
        <v>57771</v>
      </c>
      <c r="Q39" s="17"/>
      <c r="R39" s="18"/>
      <c r="S39" s="18"/>
      <c r="T39" s="18"/>
      <c r="U39" s="18"/>
    </row>
    <row r="40" spans="2:21" x14ac:dyDescent="0.2">
      <c r="B40" s="24" t="s">
        <v>6</v>
      </c>
      <c r="C40" s="32">
        <f>SUM(C35:C39)</f>
        <v>3455000</v>
      </c>
      <c r="D40" s="47"/>
      <c r="E40" s="32">
        <f>SUM(E35:E39)</f>
        <v>436965</v>
      </c>
      <c r="F40" s="32">
        <f>SUM(F35:F39)</f>
        <v>567540</v>
      </c>
      <c r="G40" s="32">
        <f>SUM(G35:G39)</f>
        <v>3583000</v>
      </c>
      <c r="H40" s="32">
        <f>SUM(H35:H39)</f>
        <v>1348782</v>
      </c>
      <c r="Q40" s="18"/>
      <c r="R40" s="18"/>
      <c r="S40" s="18"/>
      <c r="T40" s="18"/>
      <c r="U40" s="18"/>
    </row>
    <row r="41" spans="2:21" x14ac:dyDescent="0.2">
      <c r="B41" s="26" t="s">
        <v>7</v>
      </c>
      <c r="C41" s="39">
        <v>0</v>
      </c>
      <c r="D41" s="14"/>
      <c r="E41" s="39">
        <v>0</v>
      </c>
      <c r="F41" s="39">
        <v>136912</v>
      </c>
      <c r="G41" s="39">
        <v>753000</v>
      </c>
      <c r="H41" s="39">
        <v>0</v>
      </c>
      <c r="Q41" s="18"/>
      <c r="R41" s="18"/>
      <c r="S41" s="18"/>
      <c r="T41" s="18"/>
      <c r="U41" s="18"/>
    </row>
    <row r="42" spans="2:21" x14ac:dyDescent="0.2">
      <c r="B42" s="26" t="s">
        <v>8</v>
      </c>
      <c r="C42" s="39">
        <v>11033000</v>
      </c>
      <c r="D42" s="14"/>
      <c r="E42" s="39">
        <v>5624378</v>
      </c>
      <c r="F42" s="39">
        <v>7444384</v>
      </c>
      <c r="G42" s="39">
        <v>19346000</v>
      </c>
      <c r="H42" s="39">
        <v>13860359</v>
      </c>
      <c r="Q42" s="18"/>
      <c r="R42" s="18"/>
      <c r="S42" s="18"/>
      <c r="T42" s="18"/>
      <c r="U42" s="18"/>
    </row>
    <row r="43" spans="2:21" x14ac:dyDescent="0.2">
      <c r="B43" s="26" t="s">
        <v>9</v>
      </c>
      <c r="C43" s="39">
        <v>1054000</v>
      </c>
      <c r="D43" s="14"/>
      <c r="E43" s="39">
        <v>0</v>
      </c>
      <c r="F43" s="39">
        <v>0</v>
      </c>
      <c r="G43" s="39">
        <v>5637000</v>
      </c>
      <c r="H43" s="39">
        <v>189252</v>
      </c>
      <c r="Q43" s="18"/>
      <c r="R43" s="18"/>
      <c r="S43" s="18"/>
      <c r="T43" s="18"/>
      <c r="U43" s="18"/>
    </row>
    <row r="44" spans="2:21" x14ac:dyDescent="0.2">
      <c r="B44" s="26" t="s">
        <v>10</v>
      </c>
      <c r="C44" s="39">
        <v>202000</v>
      </c>
      <c r="D44" s="14"/>
      <c r="E44" s="39">
        <v>49029</v>
      </c>
      <c r="F44" s="39">
        <v>95673</v>
      </c>
      <c r="G44" s="39">
        <v>417000</v>
      </c>
      <c r="H44" s="39">
        <v>0</v>
      </c>
      <c r="Q44" s="18"/>
      <c r="R44" s="18"/>
      <c r="S44" s="18"/>
      <c r="T44" s="18"/>
      <c r="U44" s="18"/>
    </row>
    <row r="45" spans="2:21" x14ac:dyDescent="0.2">
      <c r="B45" s="26" t="s">
        <v>11</v>
      </c>
      <c r="C45" s="39">
        <v>0</v>
      </c>
      <c r="D45" s="14"/>
      <c r="E45" s="39">
        <v>0</v>
      </c>
      <c r="F45" s="39">
        <v>0</v>
      </c>
      <c r="G45" s="39">
        <v>0</v>
      </c>
      <c r="H45" s="39">
        <v>104087</v>
      </c>
      <c r="Q45" s="18"/>
      <c r="R45" s="18"/>
      <c r="S45" s="18"/>
      <c r="T45" s="18"/>
      <c r="U45" s="18"/>
    </row>
    <row r="46" spans="2:21" x14ac:dyDescent="0.2">
      <c r="B46" s="24" t="s">
        <v>12</v>
      </c>
      <c r="C46" s="32">
        <f>SUM(C40:C45)</f>
        <v>15744000</v>
      </c>
      <c r="D46" s="47"/>
      <c r="E46" s="32">
        <f>SUM(E40:E45)</f>
        <v>6110372</v>
      </c>
      <c r="F46" s="32">
        <f>SUM(F40:F45)</f>
        <v>8244509</v>
      </c>
      <c r="G46" s="32">
        <f>SUM(G40:G45)</f>
        <v>29736000</v>
      </c>
      <c r="H46" s="32">
        <f>SUM(H40:H45)</f>
        <v>15502480</v>
      </c>
      <c r="Q46" s="18"/>
      <c r="R46" s="18"/>
      <c r="S46" s="18"/>
      <c r="T46" s="18"/>
      <c r="U46" s="18"/>
    </row>
    <row r="47" spans="2:21" x14ac:dyDescent="0.2">
      <c r="B47" s="24" t="s">
        <v>13</v>
      </c>
      <c r="C47" s="39"/>
      <c r="D47" s="47"/>
      <c r="E47" s="32"/>
      <c r="F47" s="32"/>
      <c r="G47" s="32"/>
      <c r="H47" s="32"/>
      <c r="Q47" s="18"/>
      <c r="R47" s="18"/>
      <c r="S47" s="18"/>
      <c r="T47" s="18"/>
      <c r="U47" s="18"/>
    </row>
    <row r="48" spans="2:21" x14ac:dyDescent="0.2">
      <c r="B48" s="24" t="s">
        <v>14</v>
      </c>
      <c r="C48" s="39"/>
      <c r="D48" s="47"/>
      <c r="E48" s="32"/>
      <c r="F48" s="39"/>
      <c r="G48" s="39"/>
      <c r="H48" s="39"/>
    </row>
    <row r="49" spans="2:8" x14ac:dyDescent="0.2">
      <c r="B49" s="26" t="s">
        <v>15</v>
      </c>
      <c r="C49" s="39">
        <v>1182000</v>
      </c>
      <c r="D49" s="14"/>
      <c r="E49" s="39">
        <v>425173</v>
      </c>
      <c r="F49" s="39">
        <v>872539</v>
      </c>
      <c r="G49" s="39">
        <v>1722000</v>
      </c>
      <c r="H49" s="39">
        <v>1158131</v>
      </c>
    </row>
    <row r="50" spans="2:8" x14ac:dyDescent="0.2">
      <c r="B50" s="26" t="s">
        <v>16</v>
      </c>
      <c r="C50" s="39">
        <v>2000</v>
      </c>
      <c r="D50" s="14"/>
      <c r="E50" s="39">
        <v>75534</v>
      </c>
      <c r="F50" s="39">
        <v>91414</v>
      </c>
      <c r="G50" s="39">
        <v>1378000</v>
      </c>
      <c r="H50" s="39">
        <v>21273</v>
      </c>
    </row>
    <row r="51" spans="2:8" x14ac:dyDescent="0.2">
      <c r="B51" s="26" t="s">
        <v>17</v>
      </c>
      <c r="C51" s="39">
        <v>415000</v>
      </c>
      <c r="D51" s="14"/>
      <c r="E51" s="39">
        <v>259</v>
      </c>
      <c r="F51" s="39">
        <v>0</v>
      </c>
      <c r="G51" s="39">
        <v>0</v>
      </c>
      <c r="H51" s="39">
        <v>103487</v>
      </c>
    </row>
    <row r="52" spans="2:8" x14ac:dyDescent="0.2">
      <c r="B52" s="24" t="s">
        <v>18</v>
      </c>
      <c r="C52" s="32">
        <f>SUM(C49:C51)</f>
        <v>1599000</v>
      </c>
      <c r="D52" s="47"/>
      <c r="E52" s="32">
        <f>SUM(E49:E51)</f>
        <v>500966</v>
      </c>
      <c r="F52" s="32">
        <f>SUM(F49:F51)</f>
        <v>963953</v>
      </c>
      <c r="G52" s="32">
        <f>SUM(G49:G51)</f>
        <v>3100000</v>
      </c>
      <c r="H52" s="32">
        <f>SUM(H49:H51)</f>
        <v>1282891</v>
      </c>
    </row>
    <row r="53" spans="2:8" x14ac:dyDescent="0.2">
      <c r="B53" s="26" t="s">
        <v>19</v>
      </c>
      <c r="C53" s="39">
        <v>3887000</v>
      </c>
      <c r="D53" s="14"/>
      <c r="E53" s="39">
        <v>2053911</v>
      </c>
      <c r="F53" s="39">
        <v>3076405</v>
      </c>
      <c r="G53" s="39">
        <v>7796000</v>
      </c>
      <c r="H53" s="39">
        <v>2619807</v>
      </c>
    </row>
    <row r="54" spans="2:8" x14ac:dyDescent="0.2">
      <c r="B54" s="26" t="s">
        <v>20</v>
      </c>
      <c r="C54" s="39">
        <v>851000</v>
      </c>
      <c r="D54" s="14"/>
      <c r="E54" s="39">
        <v>199753</v>
      </c>
      <c r="F54" s="39">
        <v>107395</v>
      </c>
      <c r="G54" s="39">
        <v>366000</v>
      </c>
      <c r="H54" s="39">
        <v>1022880</v>
      </c>
    </row>
    <row r="55" spans="2:8" x14ac:dyDescent="0.2">
      <c r="B55" s="26" t="s">
        <v>21</v>
      </c>
      <c r="C55" s="39">
        <v>2396000</v>
      </c>
      <c r="D55" s="14"/>
      <c r="E55" s="39">
        <v>756369</v>
      </c>
      <c r="F55" s="39">
        <v>933873</v>
      </c>
      <c r="G55" s="39">
        <v>4800000</v>
      </c>
      <c r="H55" s="39">
        <v>2372481</v>
      </c>
    </row>
    <row r="56" spans="2:8" x14ac:dyDescent="0.2">
      <c r="B56" s="24" t="s">
        <v>22</v>
      </c>
      <c r="C56" s="32">
        <f>SUM(C52:C55)</f>
        <v>8733000</v>
      </c>
      <c r="D56" s="47"/>
      <c r="E56" s="32">
        <f>SUM(E52:E55)</f>
        <v>3510999</v>
      </c>
      <c r="F56" s="32">
        <f>SUM(F52:F55)</f>
        <v>5081626</v>
      </c>
      <c r="G56" s="32">
        <f>SUM(G52:G55)</f>
        <v>16062000</v>
      </c>
      <c r="H56" s="32">
        <f>SUM(H52:H55)</f>
        <v>7298059</v>
      </c>
    </row>
    <row r="57" spans="2:8" x14ac:dyDescent="0.2">
      <c r="B57" s="24" t="s">
        <v>23</v>
      </c>
      <c r="C57" s="39"/>
      <c r="D57" s="47"/>
      <c r="E57" s="32"/>
      <c r="F57" s="32"/>
      <c r="G57" s="32"/>
      <c r="H57" s="32"/>
    </row>
    <row r="58" spans="2:8" x14ac:dyDescent="0.2">
      <c r="B58" s="26" t="s">
        <v>24</v>
      </c>
      <c r="C58" s="39">
        <v>0</v>
      </c>
      <c r="D58" s="14"/>
      <c r="E58" s="39">
        <v>0</v>
      </c>
      <c r="F58" s="39">
        <v>490906</v>
      </c>
      <c r="G58" s="39">
        <v>1000</v>
      </c>
      <c r="H58" s="39">
        <v>98387</v>
      </c>
    </row>
    <row r="59" spans="2:8" x14ac:dyDescent="0.2">
      <c r="B59" s="26" t="s">
        <v>25</v>
      </c>
      <c r="C59" s="39">
        <v>5000</v>
      </c>
      <c r="D59" s="14"/>
      <c r="E59" s="39">
        <v>3484</v>
      </c>
      <c r="F59" s="39">
        <v>3169</v>
      </c>
      <c r="G59" s="39">
        <v>48000</v>
      </c>
      <c r="H59" s="39">
        <v>209320</v>
      </c>
    </row>
    <row r="60" spans="2:8" x14ac:dyDescent="0.2">
      <c r="B60" s="26" t="s">
        <v>26</v>
      </c>
      <c r="C60" s="39">
        <v>4163000</v>
      </c>
      <c r="D60" s="14"/>
      <c r="E60" s="39">
        <v>1239553</v>
      </c>
      <c r="F60" s="39">
        <v>262987</v>
      </c>
      <c r="G60" s="39">
        <v>3693000</v>
      </c>
      <c r="H60" s="39">
        <v>4017339</v>
      </c>
    </row>
    <row r="61" spans="2:8" x14ac:dyDescent="0.2">
      <c r="B61" s="26" t="s">
        <v>27</v>
      </c>
      <c r="C61" s="39">
        <v>-2208000</v>
      </c>
      <c r="D61" s="14"/>
      <c r="E61" s="39">
        <v>-24917</v>
      </c>
      <c r="F61" s="39">
        <v>-22091</v>
      </c>
      <c r="G61" s="39">
        <v>0</v>
      </c>
      <c r="H61" s="39">
        <v>-97325</v>
      </c>
    </row>
    <row r="62" spans="2:8" x14ac:dyDescent="0.2">
      <c r="B62" s="26" t="s">
        <v>28</v>
      </c>
      <c r="C62" s="39">
        <v>3973000</v>
      </c>
      <c r="D62" s="14"/>
      <c r="E62" s="39">
        <v>1410135</v>
      </c>
      <c r="F62" s="39">
        <v>2440105</v>
      </c>
      <c r="G62" s="39">
        <v>9087000</v>
      </c>
      <c r="H62" s="39" t="s">
        <v>29</v>
      </c>
    </row>
    <row r="63" spans="2:8" x14ac:dyDescent="0.2">
      <c r="B63" s="26" t="s">
        <v>30</v>
      </c>
      <c r="C63" s="39">
        <v>1078000</v>
      </c>
      <c r="D63" s="14"/>
      <c r="E63" s="39">
        <v>-28882</v>
      </c>
      <c r="F63" s="39">
        <v>-12193</v>
      </c>
      <c r="G63" s="39">
        <v>845000</v>
      </c>
      <c r="H63" s="39">
        <v>-129482</v>
      </c>
    </row>
    <row r="64" spans="2:8" x14ac:dyDescent="0.2">
      <c r="B64" s="24" t="s">
        <v>31</v>
      </c>
      <c r="C64" s="32">
        <f>SUM(C58:C63)</f>
        <v>7011000</v>
      </c>
      <c r="D64" s="47"/>
      <c r="E64" s="32">
        <f>SUM(E58:E63)</f>
        <v>2599373</v>
      </c>
      <c r="F64" s="32">
        <f>SUM(F58:F63)</f>
        <v>3162883</v>
      </c>
      <c r="G64" s="32">
        <f>SUM(G58:G63)</f>
        <v>13674000</v>
      </c>
      <c r="H64" s="32">
        <f>SUM(H58:H63)</f>
        <v>4098239</v>
      </c>
    </row>
    <row r="65" spans="1:12" x14ac:dyDescent="0.2">
      <c r="B65" s="24" t="s">
        <v>32</v>
      </c>
      <c r="C65" s="32">
        <f>C56+C64</f>
        <v>15744000</v>
      </c>
      <c r="D65" s="47"/>
      <c r="E65" s="32">
        <f>E56+E64</f>
        <v>6110372</v>
      </c>
      <c r="F65" s="32">
        <f>F56+F64</f>
        <v>8244509</v>
      </c>
      <c r="G65" s="32">
        <f>G56+G64</f>
        <v>29736000</v>
      </c>
      <c r="H65" s="32">
        <f>H56+H64</f>
        <v>11396298</v>
      </c>
    </row>
    <row r="66" spans="1:12" x14ac:dyDescent="0.2">
      <c r="B66" s="24" t="s">
        <v>33</v>
      </c>
      <c r="C66" s="39"/>
      <c r="D66" s="47"/>
      <c r="E66" s="39"/>
      <c r="F66" s="39"/>
      <c r="G66" s="39"/>
      <c r="H66" s="39"/>
    </row>
    <row r="67" spans="1:12" x14ac:dyDescent="0.2">
      <c r="B67" s="26" t="s">
        <v>34</v>
      </c>
      <c r="C67" s="39">
        <f>258*1000</f>
        <v>258000</v>
      </c>
      <c r="D67" s="14"/>
      <c r="E67" s="39">
        <f>599.5*1000</f>
        <v>599500</v>
      </c>
      <c r="F67" s="39">
        <f>184.3*1000</f>
        <v>184300</v>
      </c>
      <c r="G67" s="39">
        <f>279*1000</f>
        <v>279000</v>
      </c>
      <c r="H67" s="39">
        <f>2300*1000</f>
        <v>2300000</v>
      </c>
    </row>
    <row r="68" spans="1:12" x14ac:dyDescent="0.2">
      <c r="B68" s="26" t="s">
        <v>35</v>
      </c>
      <c r="C68" s="39">
        <v>392</v>
      </c>
      <c r="D68" s="14"/>
      <c r="E68" s="39">
        <v>332.9</v>
      </c>
      <c r="F68" s="39">
        <v>253.2</v>
      </c>
      <c r="G68" s="39">
        <v>482</v>
      </c>
      <c r="H68" s="39">
        <v>327.5</v>
      </c>
    </row>
    <row r="69" spans="1:12" x14ac:dyDescent="0.2">
      <c r="B69" s="26" t="s">
        <v>36</v>
      </c>
      <c r="C69" s="39">
        <v>45</v>
      </c>
      <c r="D69" s="14"/>
      <c r="E69" s="39">
        <v>35.380000000000003</v>
      </c>
      <c r="F69" s="39">
        <v>16.5</v>
      </c>
      <c r="G69" s="39">
        <v>38.92</v>
      </c>
      <c r="H69" s="39">
        <v>50.57</v>
      </c>
      <c r="I69" s="18"/>
      <c r="J69" s="18"/>
      <c r="K69" s="18"/>
    </row>
    <row r="70" spans="1:12" x14ac:dyDescent="0.2">
      <c r="B70" s="26" t="s">
        <v>124</v>
      </c>
      <c r="C70" s="39">
        <f>C68*C69</f>
        <v>17640</v>
      </c>
      <c r="D70" s="14"/>
      <c r="E70" s="39">
        <f>E68*E69</f>
        <v>11778.002</v>
      </c>
      <c r="F70" s="39">
        <f>F68*F69</f>
        <v>4177.8</v>
      </c>
      <c r="G70" s="39">
        <f>G68*G69</f>
        <v>18759.440000000002</v>
      </c>
      <c r="H70" s="39">
        <f>H68*H69</f>
        <v>16561.674999999999</v>
      </c>
      <c r="I70" s="18"/>
      <c r="J70" s="18"/>
      <c r="K70" s="18"/>
    </row>
    <row r="72" spans="1:12" x14ac:dyDescent="0.2">
      <c r="B72" s="36" t="s">
        <v>37</v>
      </c>
      <c r="C72" s="38"/>
      <c r="D72" s="51"/>
      <c r="E72" s="38"/>
      <c r="F72" s="38"/>
      <c r="G72" s="38"/>
      <c r="H72" s="38"/>
    </row>
    <row r="73" spans="1:12" x14ac:dyDescent="0.2">
      <c r="D73" s="19"/>
      <c r="E73" s="30"/>
      <c r="F73" s="30"/>
      <c r="G73" s="30"/>
      <c r="H73" s="30"/>
    </row>
    <row r="74" spans="1:12" x14ac:dyDescent="0.2">
      <c r="B74" s="27"/>
      <c r="C74" s="33" t="s">
        <v>126</v>
      </c>
      <c r="D74" s="47"/>
      <c r="E74" s="72" t="s">
        <v>46</v>
      </c>
      <c r="F74" s="72"/>
      <c r="G74" s="72"/>
      <c r="H74" s="72"/>
      <c r="J74" s="19"/>
      <c r="K74" s="19"/>
      <c r="L74" s="19"/>
    </row>
    <row r="75" spans="1:12" x14ac:dyDescent="0.2">
      <c r="A75" s="11" t="s">
        <v>121</v>
      </c>
      <c r="B75" s="27"/>
      <c r="C75" s="33" t="s">
        <v>62</v>
      </c>
      <c r="D75" s="47"/>
      <c r="E75" s="33" t="s">
        <v>58</v>
      </c>
      <c r="F75" s="33" t="s">
        <v>59</v>
      </c>
      <c r="G75" s="33" t="s">
        <v>60</v>
      </c>
      <c r="H75" s="33" t="s">
        <v>61</v>
      </c>
      <c r="J75" s="19"/>
      <c r="K75" s="19"/>
      <c r="L75" s="19"/>
    </row>
    <row r="76" spans="1:12" x14ac:dyDescent="0.2">
      <c r="B76" s="22" t="s">
        <v>47</v>
      </c>
      <c r="C76" s="56">
        <f>C50+C53</f>
        <v>3889000</v>
      </c>
      <c r="D76" s="14"/>
      <c r="E76" s="56">
        <v>2129445</v>
      </c>
      <c r="F76" s="56">
        <f>F50+F53</f>
        <v>3167819</v>
      </c>
      <c r="G76" s="56">
        <f>G50+G53</f>
        <v>9174000</v>
      </c>
      <c r="H76" s="56">
        <f>H50+H53</f>
        <v>2641080</v>
      </c>
      <c r="J76" s="20"/>
      <c r="K76" s="19"/>
      <c r="L76" s="19"/>
    </row>
    <row r="77" spans="1:12" x14ac:dyDescent="0.2">
      <c r="B77" s="22" t="s">
        <v>48</v>
      </c>
      <c r="C77" s="56">
        <f>C69*C68*1000</f>
        <v>17640000</v>
      </c>
      <c r="D77" s="14"/>
      <c r="E77" s="56">
        <v>11778002</v>
      </c>
      <c r="F77" s="56">
        <f>F69*F68*1000</f>
        <v>4177800</v>
      </c>
      <c r="G77" s="56">
        <f>G69*G68*1000</f>
        <v>18759440.000000004</v>
      </c>
      <c r="H77" s="56">
        <f>H69*H68*1000</f>
        <v>16561675</v>
      </c>
      <c r="J77" s="21"/>
      <c r="K77" s="19"/>
      <c r="L77" s="19"/>
    </row>
    <row r="78" spans="1:12" x14ac:dyDescent="0.2">
      <c r="B78" s="22" t="s">
        <v>49</v>
      </c>
      <c r="C78" s="56">
        <f>C35</f>
        <v>2179000</v>
      </c>
      <c r="D78" s="14"/>
      <c r="E78" s="56">
        <v>9700</v>
      </c>
      <c r="F78" s="56">
        <f>F35</f>
        <v>6896</v>
      </c>
      <c r="G78" s="56">
        <f>G35</f>
        <v>1152000</v>
      </c>
      <c r="H78" s="56">
        <f>H35</f>
        <v>111093</v>
      </c>
    </row>
    <row r="79" spans="1:12" x14ac:dyDescent="0.2">
      <c r="B79" s="22" t="s">
        <v>50</v>
      </c>
      <c r="C79" s="56">
        <f>C76+C77-C78</f>
        <v>19350000</v>
      </c>
      <c r="D79" s="14"/>
      <c r="E79" s="56">
        <v>13897747</v>
      </c>
      <c r="F79" s="56">
        <f>F76+F77-F78</f>
        <v>7338723</v>
      </c>
      <c r="G79" s="56">
        <f>G76+G77-G78</f>
        <v>26781440.000000004</v>
      </c>
      <c r="H79" s="56">
        <f>H76+H77-H78</f>
        <v>19091662</v>
      </c>
    </row>
    <row r="80" spans="1:12" x14ac:dyDescent="0.2">
      <c r="B80" s="22" t="s">
        <v>88</v>
      </c>
      <c r="C80" s="56">
        <f>C20+C15</f>
        <v>3723000</v>
      </c>
      <c r="D80" s="14"/>
      <c r="E80" s="56">
        <v>1333631</v>
      </c>
      <c r="F80" s="56">
        <f>F20+F15</f>
        <v>1588076</v>
      </c>
      <c r="G80" s="56">
        <f>G20+G15</f>
        <v>6102000</v>
      </c>
      <c r="H80" s="56">
        <f>H20+H15</f>
        <v>4051108</v>
      </c>
      <c r="I80" s="11" t="s">
        <v>92</v>
      </c>
    </row>
    <row r="81" spans="1:9" x14ac:dyDescent="0.2">
      <c r="B81" s="22" t="s">
        <v>38</v>
      </c>
      <c r="C81" s="56">
        <f>C79/C80</f>
        <v>5.1974214343271559</v>
      </c>
      <c r="D81" s="14"/>
      <c r="E81" s="56">
        <v>10.42098376537438</v>
      </c>
      <c r="F81" s="56">
        <f>F79/F80</f>
        <v>4.6211409277641629</v>
      </c>
      <c r="G81" s="56">
        <f>G79/G80</f>
        <v>4.3889609963946254</v>
      </c>
      <c r="H81" s="56">
        <f>H79/H80</f>
        <v>4.7127013152944821</v>
      </c>
    </row>
    <row r="82" spans="1:9" x14ac:dyDescent="0.2">
      <c r="B82" s="18" t="s">
        <v>124</v>
      </c>
      <c r="C82" s="56">
        <f>C70</f>
        <v>17640</v>
      </c>
      <c r="D82" s="14"/>
      <c r="E82" s="56">
        <v>11778.002</v>
      </c>
      <c r="F82" s="56">
        <f>F70</f>
        <v>4177.8</v>
      </c>
      <c r="G82" s="56">
        <f>G70</f>
        <v>18759.440000000002</v>
      </c>
      <c r="H82" s="56">
        <f>H70</f>
        <v>16561.674999999999</v>
      </c>
    </row>
    <row r="83" spans="1:9" x14ac:dyDescent="0.2">
      <c r="B83" s="22" t="s">
        <v>125</v>
      </c>
      <c r="C83" s="56">
        <f>C29</f>
        <v>1527000</v>
      </c>
      <c r="D83" s="14"/>
      <c r="E83" s="56">
        <v>507882</v>
      </c>
      <c r="F83" s="56">
        <f>F29</f>
        <v>515155</v>
      </c>
      <c r="G83" s="56">
        <f>G29</f>
        <v>2176000</v>
      </c>
      <c r="H83" s="56">
        <f>H29</f>
        <v>1663074</v>
      </c>
    </row>
    <row r="84" spans="1:9" x14ac:dyDescent="0.2">
      <c r="B84" s="22" t="s">
        <v>39</v>
      </c>
      <c r="C84" s="56">
        <f>C69/(C29/(C68*1000))</f>
        <v>11.552062868369353</v>
      </c>
      <c r="D84" s="14"/>
      <c r="E84" s="56">
        <v>23.19043006052587</v>
      </c>
      <c r="F84" s="56">
        <f>F69/(F29/(F68*1000))</f>
        <v>8.1097921984645396</v>
      </c>
      <c r="G84" s="56">
        <f>G69/(G29/(G68*1000))</f>
        <v>8.6210661764705883</v>
      </c>
      <c r="H84" s="56">
        <f>H69/(H29/(H68*1000))</f>
        <v>9.9584714811247128</v>
      </c>
    </row>
    <row r="85" spans="1:9" x14ac:dyDescent="0.2">
      <c r="B85" s="18" t="s">
        <v>35</v>
      </c>
      <c r="C85" s="56">
        <f>C68</f>
        <v>392</v>
      </c>
      <c r="D85" s="14"/>
      <c r="E85" s="56">
        <v>332.9</v>
      </c>
      <c r="F85" s="56">
        <f>F68</f>
        <v>253.2</v>
      </c>
      <c r="G85" s="56">
        <f>G68</f>
        <v>482</v>
      </c>
      <c r="H85" s="56">
        <f>H68</f>
        <v>327.5</v>
      </c>
    </row>
    <row r="86" spans="1:9" x14ac:dyDescent="0.2">
      <c r="B86" s="22"/>
      <c r="C86" s="34"/>
      <c r="D86" s="14"/>
      <c r="E86" s="34"/>
      <c r="F86" s="34"/>
      <c r="G86" s="34"/>
      <c r="H86" s="34"/>
    </row>
    <row r="87" spans="1:9" x14ac:dyDescent="0.2">
      <c r="B87" s="53" t="s">
        <v>119</v>
      </c>
      <c r="C87" s="34"/>
      <c r="D87" s="14"/>
      <c r="E87" s="34"/>
      <c r="F87" s="34"/>
      <c r="G87" s="34"/>
      <c r="H87" s="34"/>
    </row>
    <row r="88" spans="1:9" x14ac:dyDescent="0.2">
      <c r="B88" s="22" t="s">
        <v>38</v>
      </c>
      <c r="C88" s="56">
        <f>C81</f>
        <v>5.1974214343271559</v>
      </c>
      <c r="D88" s="14"/>
      <c r="E88" s="56">
        <v>10.42098376537438</v>
      </c>
      <c r="F88" s="56">
        <f>F81</f>
        <v>4.6211409277641629</v>
      </c>
      <c r="G88" s="56">
        <f>G81</f>
        <v>4.3889609963946254</v>
      </c>
      <c r="H88" s="56">
        <f>H81</f>
        <v>4.7127013152944821</v>
      </c>
      <c r="I88" s="30"/>
    </row>
    <row r="89" spans="1:9" x14ac:dyDescent="0.2">
      <c r="B89" s="22" t="s">
        <v>39</v>
      </c>
      <c r="C89" s="56">
        <f>C84</f>
        <v>11.552062868369353</v>
      </c>
      <c r="D89" s="52"/>
      <c r="E89" s="56">
        <v>23.19043006052587</v>
      </c>
      <c r="F89" s="56">
        <f>F84</f>
        <v>8.1097921984645396</v>
      </c>
      <c r="G89" s="56">
        <f>G84</f>
        <v>8.6210661764705883</v>
      </c>
      <c r="H89" s="56">
        <f>H84</f>
        <v>9.9584714811247128</v>
      </c>
      <c r="I89" s="30"/>
    </row>
    <row r="90" spans="1:9" x14ac:dyDescent="0.2">
      <c r="B90" s="28"/>
      <c r="C90" s="43"/>
      <c r="D90" s="52"/>
      <c r="E90" s="34"/>
      <c r="F90" s="43"/>
      <c r="G90" s="43"/>
      <c r="H90" s="43"/>
    </row>
    <row r="91" spans="1:9" x14ac:dyDescent="0.2">
      <c r="A91" s="11" t="s">
        <v>122</v>
      </c>
      <c r="B91" s="55" t="s">
        <v>88</v>
      </c>
      <c r="C91" s="56">
        <f>C80</f>
        <v>3723000</v>
      </c>
      <c r="D91" s="52"/>
      <c r="E91" s="34"/>
      <c r="F91" s="43"/>
      <c r="G91" s="43"/>
      <c r="H91" s="43"/>
    </row>
    <row r="92" spans="1:9" x14ac:dyDescent="0.2">
      <c r="B92" s="22" t="s">
        <v>40</v>
      </c>
      <c r="C92" s="56">
        <f>C88*C91</f>
        <v>19350000</v>
      </c>
      <c r="D92" s="54"/>
      <c r="E92" s="56">
        <v>38797322.558488816</v>
      </c>
      <c r="F92" s="56">
        <f>F88*F80</f>
        <v>7338723.0000000009</v>
      </c>
      <c r="G92" s="56">
        <f>G88*G80</f>
        <v>26781440.000000004</v>
      </c>
      <c r="H92" s="56">
        <f>H88*H80</f>
        <v>19091662</v>
      </c>
    </row>
    <row r="93" spans="1:9" x14ac:dyDescent="0.2">
      <c r="B93" s="18" t="s">
        <v>41</v>
      </c>
      <c r="C93" s="56">
        <f>C35</f>
        <v>2179000</v>
      </c>
      <c r="D93" s="52"/>
      <c r="E93" s="34"/>
      <c r="F93" s="11"/>
      <c r="G93" s="11"/>
      <c r="H93" s="11"/>
    </row>
    <row r="94" spans="1:9" x14ac:dyDescent="0.2">
      <c r="B94" s="22" t="s">
        <v>42</v>
      </c>
      <c r="C94" s="56">
        <f>-C76</f>
        <v>-3889000</v>
      </c>
      <c r="D94" s="52"/>
      <c r="E94" s="34"/>
      <c r="F94" s="11"/>
      <c r="G94" s="21"/>
      <c r="H94" s="19"/>
      <c r="I94" s="19"/>
    </row>
    <row r="95" spans="1:9" x14ac:dyDescent="0.2">
      <c r="B95" s="22" t="s">
        <v>43</v>
      </c>
      <c r="C95" s="56">
        <f>SUM(C92:C94)</f>
        <v>17640000</v>
      </c>
      <c r="D95" s="52"/>
      <c r="E95" s="34"/>
      <c r="F95" s="11"/>
      <c r="G95" s="21"/>
      <c r="H95" s="19"/>
      <c r="I95" s="19"/>
    </row>
    <row r="96" spans="1:9" x14ac:dyDescent="0.2">
      <c r="B96" s="17" t="s">
        <v>44</v>
      </c>
      <c r="C96" s="56">
        <f>C95/(C68*1000)</f>
        <v>45</v>
      </c>
      <c r="D96" s="52"/>
      <c r="E96" s="34"/>
      <c r="F96" s="11"/>
      <c r="G96" s="21"/>
      <c r="H96" s="19"/>
      <c r="I96" s="19"/>
    </row>
    <row r="97" spans="1:20" x14ac:dyDescent="0.2">
      <c r="B97" s="17"/>
      <c r="C97" s="43"/>
      <c r="D97" s="52"/>
      <c r="E97" s="34"/>
      <c r="F97" s="43"/>
      <c r="G97" s="43"/>
      <c r="H97" s="43"/>
      <c r="J97" s="21"/>
      <c r="K97" s="19"/>
      <c r="L97" s="19"/>
    </row>
    <row r="98" spans="1:20" x14ac:dyDescent="0.2">
      <c r="A98" s="11" t="s">
        <v>115</v>
      </c>
      <c r="B98" s="22" t="s">
        <v>125</v>
      </c>
      <c r="C98" s="56">
        <f>C83</f>
        <v>1527000</v>
      </c>
      <c r="D98" s="52"/>
      <c r="E98" s="11"/>
      <c r="F98" s="11"/>
      <c r="G98" s="21"/>
      <c r="H98" s="19"/>
      <c r="I98" s="19"/>
    </row>
    <row r="99" spans="1:20" x14ac:dyDescent="0.2">
      <c r="B99" s="22" t="s">
        <v>120</v>
      </c>
      <c r="C99" s="56">
        <f>C89*C98</f>
        <v>17640000</v>
      </c>
      <c r="D99" s="54"/>
      <c r="E99" s="56">
        <v>35411786.702423006</v>
      </c>
      <c r="F99" s="56">
        <f>F89*F83</f>
        <v>4177800</v>
      </c>
      <c r="G99" s="56">
        <f>G89*G83</f>
        <v>18759440</v>
      </c>
      <c r="H99" s="56">
        <f>H89*H83</f>
        <v>16561675</v>
      </c>
      <c r="J99" s="19"/>
      <c r="K99" s="19"/>
      <c r="L99" s="19"/>
    </row>
    <row r="100" spans="1:20" x14ac:dyDescent="0.2">
      <c r="B100" s="17" t="s">
        <v>45</v>
      </c>
      <c r="C100" s="56">
        <f>C98/C99</f>
        <v>8.6564625850340138E-2</v>
      </c>
      <c r="D100" s="52"/>
      <c r="E100" s="34"/>
      <c r="F100" s="34"/>
      <c r="G100" s="34"/>
      <c r="H100" s="34"/>
      <c r="J100" s="19"/>
      <c r="K100" s="19"/>
      <c r="L100" s="19"/>
    </row>
    <row r="101" spans="1:20" x14ac:dyDescent="0.2">
      <c r="B101" s="22"/>
      <c r="C101" s="43"/>
      <c r="D101" s="52"/>
      <c r="E101" s="34"/>
      <c r="F101" s="34"/>
      <c r="G101" s="34"/>
      <c r="H101" s="34"/>
      <c r="J101" s="19"/>
      <c r="K101" s="19"/>
      <c r="L101" s="19"/>
    </row>
    <row r="102" spans="1:20" s="31" customFormat="1" ht="12.75" customHeight="1" x14ac:dyDescent="0.2">
      <c r="A102" s="31" t="s">
        <v>123</v>
      </c>
      <c r="B102" s="44" t="s">
        <v>127</v>
      </c>
      <c r="C102" s="44"/>
      <c r="D102" s="44"/>
      <c r="E102" s="44"/>
      <c r="F102" s="44"/>
      <c r="G102" s="44"/>
      <c r="H102" s="44"/>
    </row>
    <row r="103" spans="1:20" x14ac:dyDescent="0.2">
      <c r="B103" s="22"/>
      <c r="C103" s="34"/>
      <c r="D103" s="52"/>
      <c r="E103" s="34"/>
      <c r="F103" s="34"/>
      <c r="G103" s="34"/>
      <c r="H103" s="34"/>
    </row>
    <row r="104" spans="1:20" x14ac:dyDescent="0.2">
      <c r="B104" s="73" t="s">
        <v>143</v>
      </c>
      <c r="C104" s="73"/>
      <c r="D104" s="59"/>
      <c r="E104" s="59"/>
      <c r="F104" s="59"/>
      <c r="G104" s="59"/>
      <c r="H104" s="59"/>
    </row>
    <row r="105" spans="1:20" x14ac:dyDescent="0.2">
      <c r="B105" s="22"/>
      <c r="C105" s="34"/>
      <c r="D105" s="14"/>
      <c r="E105" s="34"/>
      <c r="F105" s="34"/>
      <c r="G105" s="34"/>
      <c r="H105" s="34"/>
    </row>
    <row r="106" spans="1:20" x14ac:dyDescent="0.2">
      <c r="B106" s="22"/>
      <c r="C106" s="34"/>
      <c r="D106" s="14"/>
      <c r="E106" s="34"/>
      <c r="F106" s="34"/>
      <c r="G106" s="34"/>
      <c r="H106" s="34"/>
      <c r="J106" s="75" t="s">
        <v>0</v>
      </c>
      <c r="K106" s="76"/>
      <c r="L106" s="76"/>
      <c r="M106" s="76"/>
      <c r="N106" s="76"/>
      <c r="O106" s="76"/>
      <c r="P106" s="76"/>
      <c r="Q106" s="76"/>
      <c r="R106" s="76"/>
      <c r="S106" s="76"/>
      <c r="T106" s="76"/>
    </row>
    <row r="107" spans="1:20" x14ac:dyDescent="0.2">
      <c r="B107" s="22"/>
      <c r="C107" s="34"/>
      <c r="D107" s="14"/>
      <c r="E107" s="34"/>
      <c r="F107" s="34"/>
      <c r="G107" s="34"/>
      <c r="H107" s="34"/>
      <c r="J107" s="75"/>
      <c r="K107" s="76"/>
      <c r="L107" s="76"/>
      <c r="M107" s="76"/>
      <c r="N107" s="76"/>
      <c r="O107" s="76"/>
      <c r="P107" s="76"/>
      <c r="Q107" s="76"/>
      <c r="R107" s="76"/>
      <c r="S107" s="76"/>
      <c r="T107" s="76"/>
    </row>
    <row r="108" spans="1:20" x14ac:dyDescent="0.2">
      <c r="B108" s="22"/>
      <c r="C108" s="34"/>
      <c r="D108" s="14"/>
      <c r="E108" s="34"/>
      <c r="F108" s="34"/>
      <c r="G108" s="34"/>
      <c r="H108" s="34"/>
      <c r="J108" s="75"/>
      <c r="K108" s="76"/>
      <c r="L108" s="76"/>
      <c r="M108" s="76"/>
      <c r="N108" s="76"/>
      <c r="O108" s="76"/>
      <c r="P108" s="76"/>
      <c r="Q108" s="76"/>
      <c r="R108" s="76"/>
      <c r="S108" s="76"/>
      <c r="T108" s="76"/>
    </row>
    <row r="109" spans="1:20" x14ac:dyDescent="0.2">
      <c r="E109" s="34"/>
      <c r="F109" s="34"/>
      <c r="G109" s="34"/>
      <c r="H109" s="34"/>
    </row>
    <row r="110" spans="1:20" x14ac:dyDescent="0.2">
      <c r="E110" s="34"/>
      <c r="F110" s="34"/>
      <c r="G110" s="34"/>
      <c r="H110" s="34"/>
      <c r="J110" s="75" t="s">
        <v>116</v>
      </c>
      <c r="K110" s="76"/>
      <c r="L110" s="76"/>
      <c r="M110" s="76"/>
      <c r="N110" s="76"/>
      <c r="O110" s="76"/>
      <c r="P110" s="76"/>
      <c r="Q110" s="76"/>
      <c r="R110" s="76"/>
      <c r="S110" s="76"/>
      <c r="T110" s="76"/>
    </row>
    <row r="111" spans="1:20" x14ac:dyDescent="0.2">
      <c r="E111" s="34"/>
      <c r="F111" s="34"/>
      <c r="G111" s="34"/>
      <c r="H111" s="34"/>
      <c r="J111" s="75"/>
      <c r="K111" s="76"/>
      <c r="L111" s="76"/>
      <c r="M111" s="76"/>
      <c r="N111" s="76"/>
      <c r="O111" s="76"/>
      <c r="P111" s="76"/>
      <c r="Q111" s="76"/>
      <c r="R111" s="76"/>
      <c r="S111" s="76"/>
      <c r="T111" s="76"/>
    </row>
    <row r="112" spans="1:20" x14ac:dyDescent="0.2">
      <c r="E112" s="34"/>
      <c r="F112" s="34"/>
      <c r="G112" s="34"/>
      <c r="H112" s="34"/>
      <c r="J112" s="75"/>
      <c r="K112" s="76"/>
      <c r="L112" s="76"/>
      <c r="M112" s="76"/>
      <c r="N112" s="76"/>
      <c r="O112" s="76"/>
      <c r="P112" s="76"/>
      <c r="Q112" s="76"/>
      <c r="R112" s="76"/>
      <c r="S112" s="76"/>
      <c r="T112" s="76"/>
    </row>
    <row r="113" spans="4:20" x14ac:dyDescent="0.2">
      <c r="E113" s="34"/>
      <c r="F113" s="34"/>
      <c r="G113" s="34"/>
      <c r="H113" s="34"/>
      <c r="J113" s="75"/>
      <c r="K113" s="76"/>
      <c r="L113" s="76"/>
      <c r="M113" s="76"/>
      <c r="N113" s="76"/>
      <c r="O113" s="76"/>
      <c r="P113" s="76"/>
      <c r="Q113" s="76"/>
      <c r="R113" s="76"/>
      <c r="S113" s="76"/>
      <c r="T113" s="76"/>
    </row>
    <row r="114" spans="4:20" x14ac:dyDescent="0.2">
      <c r="D114" s="14"/>
      <c r="E114" s="34"/>
      <c r="F114" s="34"/>
      <c r="G114" s="34"/>
      <c r="H114" s="34"/>
      <c r="J114" s="75"/>
      <c r="K114" s="76"/>
      <c r="L114" s="76"/>
      <c r="M114" s="76"/>
      <c r="N114" s="76"/>
      <c r="O114" s="76"/>
      <c r="P114" s="76"/>
      <c r="Q114" s="76"/>
      <c r="R114" s="76"/>
      <c r="S114" s="76"/>
      <c r="T114" s="76"/>
    </row>
    <row r="115" spans="4:20" x14ac:dyDescent="0.2">
      <c r="D115" s="14"/>
      <c r="E115" s="34"/>
      <c r="F115" s="34"/>
      <c r="G115" s="34"/>
      <c r="H115" s="34"/>
      <c r="J115" s="75"/>
      <c r="K115" s="76"/>
      <c r="L115" s="76"/>
      <c r="M115" s="76"/>
      <c r="N115" s="76"/>
      <c r="O115" s="76"/>
      <c r="P115" s="76"/>
      <c r="Q115" s="76"/>
      <c r="R115" s="76"/>
      <c r="S115" s="76"/>
      <c r="T115" s="76"/>
    </row>
    <row r="116" spans="4:20" x14ac:dyDescent="0.2">
      <c r="D116" s="14"/>
      <c r="E116" s="34"/>
      <c r="F116" s="34"/>
      <c r="G116" s="34"/>
      <c r="H116" s="34"/>
      <c r="I116" s="19"/>
      <c r="J116" s="75"/>
      <c r="K116" s="76"/>
      <c r="L116" s="76"/>
      <c r="M116" s="76"/>
      <c r="N116" s="76"/>
      <c r="O116" s="76"/>
      <c r="P116" s="76"/>
      <c r="Q116" s="76"/>
      <c r="R116" s="76"/>
      <c r="S116" s="76"/>
      <c r="T116" s="76"/>
    </row>
    <row r="117" spans="4:20" x14ac:dyDescent="0.2">
      <c r="J117" s="75"/>
      <c r="K117" s="76"/>
      <c r="L117" s="76"/>
      <c r="M117" s="76"/>
      <c r="N117" s="76"/>
      <c r="O117" s="76"/>
      <c r="P117" s="76"/>
      <c r="Q117" s="76"/>
      <c r="R117" s="76"/>
      <c r="S117" s="76"/>
      <c r="T117" s="76"/>
    </row>
    <row r="118" spans="4:20" x14ac:dyDescent="0.2">
      <c r="J118" s="77"/>
      <c r="K118" s="78"/>
      <c r="L118" s="78"/>
      <c r="M118" s="78"/>
      <c r="N118" s="78"/>
      <c r="O118" s="78"/>
      <c r="P118" s="78"/>
      <c r="Q118" s="78"/>
      <c r="R118" s="78"/>
      <c r="S118" s="78"/>
      <c r="T118" s="78"/>
    </row>
  </sheetData>
  <mergeCells count="5">
    <mergeCell ref="E74:H74"/>
    <mergeCell ref="B104:C104"/>
    <mergeCell ref="E3:H3"/>
    <mergeCell ref="J106:T108"/>
    <mergeCell ref="J110:T118"/>
  </mergeCells>
  <phoneticPr fontId="1" type="noConversion"/>
  <printOptions gridLines="1"/>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
  <sheetViews>
    <sheetView workbookViewId="0">
      <selection activeCell="J3" sqref="J3"/>
    </sheetView>
  </sheetViews>
  <sheetFormatPr defaultRowHeight="12.75" x14ac:dyDescent="0.2"/>
  <sheetData>
    <row r="2" spans="1:2" x14ac:dyDescent="0.2">
      <c r="A2" t="s">
        <v>129</v>
      </c>
    </row>
    <row r="3" spans="1:2" x14ac:dyDescent="0.2">
      <c r="B3"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Q4-1</vt:lpstr>
      <vt:lpstr>Q4-2</vt:lpstr>
      <vt:lpstr>Q4-3</vt:lpstr>
    </vt:vector>
  </TitlesOfParts>
  <Company>Baylor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dcterms:created xsi:type="dcterms:W3CDTF">2006-07-16T22:45:11Z</dcterms:created>
  <dcterms:modified xsi:type="dcterms:W3CDTF">2019-04-24T15:14:35Z</dcterms:modified>
</cp:coreProperties>
</file>